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id12949\Desktop\Web Request to update docs\"/>
    </mc:Choice>
  </mc:AlternateContent>
  <bookViews>
    <workbookView xWindow="0" yWindow="0" windowWidth="22125" windowHeight="9480"/>
  </bookViews>
  <sheets>
    <sheet name="December 2017" sheetId="1" r:id="rId1"/>
  </sheets>
  <definedNames>
    <definedName name="_xlnm._FilterDatabase" localSheetId="0" hidden="1">'December 2017'!$A$6:$H$247</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46" i="1" l="1"/>
  <c r="G246" i="1"/>
  <c r="F246" i="1"/>
  <c r="E246" i="1"/>
  <c r="D246" i="1"/>
  <c r="C246" i="1"/>
  <c r="B246" i="1"/>
  <c r="H245" i="1"/>
  <c r="G245" i="1"/>
  <c r="F245" i="1"/>
  <c r="E245" i="1"/>
  <c r="D245" i="1"/>
  <c r="C245" i="1"/>
  <c r="B245" i="1"/>
  <c r="H244" i="1"/>
  <c r="G244" i="1"/>
  <c r="F244" i="1"/>
  <c r="E244" i="1"/>
  <c r="D244" i="1"/>
  <c r="C244" i="1"/>
  <c r="B244" i="1"/>
  <c r="H243" i="1"/>
  <c r="G243" i="1"/>
  <c r="F243" i="1"/>
  <c r="E243" i="1"/>
  <c r="D243" i="1"/>
  <c r="C243" i="1"/>
  <c r="B243" i="1"/>
  <c r="H242" i="1"/>
  <c r="G242" i="1"/>
  <c r="F242" i="1"/>
  <c r="E242" i="1"/>
  <c r="D242" i="1"/>
  <c r="C242" i="1"/>
  <c r="B242" i="1"/>
  <c r="H241" i="1"/>
  <c r="G241" i="1"/>
  <c r="F241" i="1"/>
  <c r="E241" i="1"/>
  <c r="D241" i="1"/>
  <c r="C241" i="1"/>
  <c r="B241" i="1"/>
  <c r="H240" i="1"/>
  <c r="G240" i="1"/>
  <c r="F240" i="1"/>
  <c r="E240" i="1"/>
  <c r="D240" i="1"/>
  <c r="C240" i="1"/>
  <c r="B240" i="1"/>
  <c r="H239" i="1"/>
  <c r="G239" i="1"/>
  <c r="F239" i="1"/>
  <c r="E239" i="1"/>
  <c r="D239" i="1"/>
  <c r="C239" i="1"/>
  <c r="B239" i="1"/>
  <c r="H238" i="1"/>
  <c r="G238" i="1"/>
  <c r="F238" i="1"/>
  <c r="E238" i="1"/>
  <c r="D238" i="1"/>
  <c r="C238" i="1"/>
  <c r="B238" i="1"/>
  <c r="H237" i="1"/>
  <c r="G237" i="1"/>
  <c r="F237" i="1"/>
  <c r="E237" i="1"/>
  <c r="D237" i="1"/>
  <c r="C237" i="1"/>
  <c r="B237" i="1"/>
  <c r="H236" i="1"/>
  <c r="G236" i="1"/>
  <c r="F236" i="1"/>
  <c r="E236" i="1"/>
  <c r="D236" i="1"/>
  <c r="C236" i="1"/>
  <c r="B236" i="1"/>
  <c r="H235" i="1"/>
  <c r="G235" i="1"/>
  <c r="F235" i="1"/>
  <c r="E235" i="1"/>
  <c r="D235" i="1"/>
  <c r="C235" i="1"/>
  <c r="B235" i="1"/>
  <c r="H234" i="1"/>
  <c r="G234" i="1"/>
  <c r="F234" i="1"/>
  <c r="E234" i="1"/>
  <c r="D234" i="1"/>
  <c r="C234" i="1"/>
  <c r="B234" i="1"/>
  <c r="H233" i="1"/>
  <c r="G233" i="1"/>
  <c r="F233" i="1"/>
  <c r="E233" i="1"/>
  <c r="D233" i="1"/>
  <c r="C233" i="1"/>
  <c r="B233" i="1"/>
  <c r="H232" i="1"/>
  <c r="G232" i="1"/>
  <c r="F232" i="1"/>
  <c r="E232" i="1"/>
  <c r="D232" i="1"/>
  <c r="C232" i="1"/>
  <c r="B232" i="1"/>
  <c r="H231" i="1"/>
  <c r="G231" i="1"/>
  <c r="F231" i="1"/>
  <c r="E231" i="1"/>
  <c r="D231" i="1"/>
  <c r="C231" i="1"/>
  <c r="B231" i="1"/>
  <c r="H230" i="1"/>
  <c r="G230" i="1"/>
  <c r="F230" i="1"/>
  <c r="E230" i="1"/>
  <c r="D230" i="1"/>
  <c r="C230" i="1"/>
  <c r="B230" i="1"/>
  <c r="H229" i="1"/>
  <c r="G229" i="1"/>
  <c r="F229" i="1"/>
  <c r="E229" i="1"/>
  <c r="D229" i="1"/>
  <c r="C229" i="1"/>
  <c r="B229" i="1"/>
  <c r="H228" i="1"/>
  <c r="G228" i="1"/>
  <c r="F228" i="1"/>
  <c r="E228" i="1"/>
  <c r="D228" i="1"/>
  <c r="C228" i="1"/>
  <c r="B228" i="1"/>
  <c r="H227" i="1"/>
  <c r="G227" i="1"/>
  <c r="F227" i="1"/>
  <c r="E227" i="1"/>
  <c r="D227" i="1"/>
  <c r="C227" i="1"/>
  <c r="B227" i="1"/>
  <c r="H226" i="1"/>
  <c r="G226" i="1"/>
  <c r="F226" i="1"/>
  <c r="E226" i="1"/>
  <c r="D226" i="1"/>
  <c r="C226" i="1"/>
  <c r="B226" i="1"/>
  <c r="H225" i="1"/>
  <c r="G225" i="1"/>
  <c r="F225" i="1"/>
  <c r="E225" i="1"/>
  <c r="D225" i="1"/>
  <c r="C225" i="1"/>
  <c r="B225" i="1"/>
  <c r="H224" i="1"/>
  <c r="G224" i="1"/>
  <c r="F224" i="1"/>
  <c r="E224" i="1"/>
  <c r="D224" i="1"/>
  <c r="C224" i="1"/>
  <c r="B224" i="1"/>
  <c r="H223" i="1"/>
  <c r="G223" i="1"/>
  <c r="F223" i="1"/>
  <c r="E223" i="1"/>
  <c r="D223" i="1"/>
  <c r="C223" i="1"/>
  <c r="B223" i="1"/>
  <c r="H222" i="1"/>
  <c r="G222" i="1"/>
  <c r="F222" i="1"/>
  <c r="E222" i="1"/>
  <c r="D222" i="1"/>
  <c r="C222" i="1"/>
  <c r="B222" i="1"/>
  <c r="H221" i="1"/>
  <c r="G221" i="1"/>
  <c r="F221" i="1"/>
  <c r="E221" i="1"/>
  <c r="D221" i="1"/>
  <c r="C221" i="1"/>
  <c r="B221" i="1"/>
  <c r="H220" i="1"/>
  <c r="G220" i="1"/>
  <c r="F220" i="1"/>
  <c r="E220" i="1"/>
  <c r="D220" i="1"/>
  <c r="C220" i="1"/>
  <c r="B220" i="1"/>
  <c r="H219" i="1"/>
  <c r="G219" i="1"/>
  <c r="F219" i="1"/>
  <c r="E219" i="1"/>
  <c r="D219" i="1"/>
  <c r="C219" i="1"/>
  <c r="B219" i="1"/>
  <c r="H218" i="1"/>
  <c r="G218" i="1"/>
  <c r="F218" i="1"/>
  <c r="E218" i="1"/>
  <c r="D218" i="1"/>
  <c r="C218" i="1"/>
  <c r="B218" i="1"/>
  <c r="H217" i="1"/>
  <c r="G217" i="1"/>
  <c r="F217" i="1"/>
  <c r="E217" i="1"/>
  <c r="D217" i="1"/>
  <c r="C217" i="1"/>
  <c r="B217" i="1"/>
  <c r="H216" i="1"/>
  <c r="G216" i="1"/>
  <c r="F216" i="1"/>
  <c r="E216" i="1"/>
  <c r="D216" i="1"/>
  <c r="C216" i="1"/>
  <c r="B216" i="1"/>
  <c r="H215" i="1"/>
  <c r="G215" i="1"/>
  <c r="F215" i="1"/>
  <c r="E215" i="1"/>
  <c r="D215" i="1"/>
  <c r="C215" i="1"/>
  <c r="B215" i="1"/>
  <c r="H214" i="1"/>
  <c r="G214" i="1"/>
  <c r="F214" i="1"/>
  <c r="E214" i="1"/>
  <c r="D214" i="1"/>
  <c r="C214" i="1"/>
  <c r="B214" i="1"/>
  <c r="H213" i="1"/>
  <c r="G213" i="1"/>
  <c r="F213" i="1"/>
  <c r="E213" i="1"/>
  <c r="D213" i="1"/>
  <c r="C213" i="1"/>
  <c r="B213" i="1"/>
  <c r="H212" i="1"/>
  <c r="G212" i="1"/>
  <c r="F212" i="1"/>
  <c r="E212" i="1"/>
  <c r="D212" i="1"/>
  <c r="C212" i="1"/>
  <c r="B212" i="1"/>
  <c r="H211" i="1"/>
  <c r="G211" i="1"/>
  <c r="F211" i="1"/>
  <c r="E211" i="1"/>
  <c r="D211" i="1"/>
  <c r="C211" i="1"/>
  <c r="B211" i="1"/>
  <c r="H210" i="1"/>
  <c r="G210" i="1"/>
  <c r="F210" i="1"/>
  <c r="E210" i="1"/>
  <c r="D210" i="1"/>
  <c r="C210" i="1"/>
  <c r="B210" i="1"/>
  <c r="H209" i="1"/>
  <c r="G209" i="1"/>
  <c r="F209" i="1"/>
  <c r="E209" i="1"/>
  <c r="D209" i="1"/>
  <c r="C209" i="1"/>
  <c r="B209" i="1"/>
  <c r="H208" i="1"/>
  <c r="G208" i="1"/>
  <c r="F208" i="1"/>
  <c r="E208" i="1"/>
  <c r="D208" i="1"/>
  <c r="C208" i="1"/>
  <c r="B208" i="1"/>
  <c r="H207" i="1"/>
  <c r="G207" i="1"/>
  <c r="F207" i="1"/>
  <c r="E207" i="1"/>
  <c r="D207" i="1"/>
  <c r="C207" i="1"/>
  <c r="B207" i="1"/>
  <c r="H206" i="1"/>
  <c r="G206" i="1"/>
  <c r="F206" i="1"/>
  <c r="E206" i="1"/>
  <c r="D206" i="1"/>
  <c r="C206" i="1"/>
  <c r="B206" i="1"/>
  <c r="H205" i="1"/>
  <c r="G205" i="1"/>
  <c r="F205" i="1"/>
  <c r="E205" i="1"/>
  <c r="D205" i="1"/>
  <c r="C205" i="1"/>
  <c r="B205" i="1"/>
  <c r="H204" i="1"/>
  <c r="G204" i="1"/>
  <c r="F204" i="1"/>
  <c r="E204" i="1"/>
  <c r="D204" i="1"/>
  <c r="C204" i="1"/>
  <c r="B204" i="1"/>
  <c r="H203" i="1"/>
  <c r="G203" i="1"/>
  <c r="F203" i="1"/>
  <c r="E203" i="1"/>
  <c r="D203" i="1"/>
  <c r="C203" i="1"/>
  <c r="B203" i="1"/>
  <c r="H202" i="1"/>
  <c r="G202" i="1"/>
  <c r="F202" i="1"/>
  <c r="E202" i="1"/>
  <c r="D202" i="1"/>
  <c r="C202" i="1"/>
  <c r="B202" i="1"/>
  <c r="H201" i="1"/>
  <c r="G201" i="1"/>
  <c r="F201" i="1"/>
  <c r="E201" i="1"/>
  <c r="D201" i="1"/>
  <c r="C201" i="1"/>
  <c r="B201" i="1"/>
  <c r="H200" i="1"/>
  <c r="G200" i="1"/>
  <c r="F200" i="1"/>
  <c r="E200" i="1"/>
  <c r="D200" i="1"/>
  <c r="C200" i="1"/>
  <c r="B200" i="1"/>
  <c r="H199" i="1"/>
  <c r="G199" i="1"/>
  <c r="F199" i="1"/>
  <c r="E199" i="1"/>
  <c r="D199" i="1"/>
  <c r="C199" i="1"/>
  <c r="B199" i="1"/>
  <c r="H198" i="1"/>
  <c r="G198" i="1"/>
  <c r="F198" i="1"/>
  <c r="E198" i="1"/>
  <c r="D198" i="1"/>
  <c r="C198" i="1"/>
  <c r="B198" i="1"/>
  <c r="H197" i="1"/>
  <c r="G197" i="1"/>
  <c r="F197" i="1"/>
  <c r="E197" i="1"/>
  <c r="D197" i="1"/>
  <c r="C197" i="1"/>
  <c r="B197" i="1"/>
  <c r="H196" i="1"/>
  <c r="G196" i="1"/>
  <c r="F196" i="1"/>
  <c r="E196" i="1"/>
  <c r="D196" i="1"/>
  <c r="C196" i="1"/>
  <c r="B196" i="1"/>
  <c r="H195" i="1"/>
  <c r="G195" i="1"/>
  <c r="F195" i="1"/>
  <c r="E195" i="1"/>
  <c r="D195" i="1"/>
  <c r="C195" i="1"/>
  <c r="B195" i="1"/>
  <c r="H194" i="1"/>
  <c r="G194" i="1"/>
  <c r="F194" i="1"/>
  <c r="E194" i="1"/>
  <c r="D194" i="1"/>
  <c r="C194" i="1"/>
  <c r="B194" i="1"/>
  <c r="H193" i="1"/>
  <c r="G193" i="1"/>
  <c r="F193" i="1"/>
  <c r="E193" i="1"/>
  <c r="D193" i="1"/>
  <c r="C193" i="1"/>
  <c r="B193" i="1"/>
  <c r="H192" i="1"/>
  <c r="G192" i="1"/>
  <c r="F192" i="1"/>
  <c r="E192" i="1"/>
  <c r="D192" i="1"/>
  <c r="C192" i="1"/>
  <c r="B192" i="1"/>
  <c r="H191" i="1"/>
  <c r="G191" i="1"/>
  <c r="F191" i="1"/>
  <c r="E191" i="1"/>
  <c r="D191" i="1"/>
  <c r="C191" i="1"/>
  <c r="B191" i="1"/>
  <c r="H190" i="1"/>
  <c r="G190" i="1"/>
  <c r="F190" i="1"/>
  <c r="E190" i="1"/>
  <c r="D190" i="1"/>
  <c r="C190" i="1"/>
  <c r="B190" i="1"/>
  <c r="H189" i="1"/>
  <c r="G189" i="1"/>
  <c r="F189" i="1"/>
  <c r="E189" i="1"/>
  <c r="D189" i="1"/>
  <c r="C189" i="1"/>
  <c r="B189" i="1"/>
  <c r="H188" i="1"/>
  <c r="G188" i="1"/>
  <c r="F188" i="1"/>
  <c r="E188" i="1"/>
  <c r="D188" i="1"/>
  <c r="C188" i="1"/>
  <c r="B188" i="1"/>
  <c r="H187" i="1"/>
  <c r="G187" i="1"/>
  <c r="F187" i="1"/>
  <c r="E187" i="1"/>
  <c r="D187" i="1"/>
  <c r="C187" i="1"/>
  <c r="B187" i="1"/>
  <c r="H186" i="1"/>
  <c r="G186" i="1"/>
  <c r="F186" i="1"/>
  <c r="E186" i="1"/>
  <c r="D186" i="1"/>
  <c r="C186" i="1"/>
  <c r="B186" i="1"/>
  <c r="H185" i="1"/>
  <c r="G185" i="1"/>
  <c r="F185" i="1"/>
  <c r="E185" i="1"/>
  <c r="D185" i="1"/>
  <c r="C185" i="1"/>
  <c r="B185" i="1"/>
  <c r="H184" i="1"/>
  <c r="G184" i="1"/>
  <c r="F184" i="1"/>
  <c r="E184" i="1"/>
  <c r="D184" i="1"/>
  <c r="C184" i="1"/>
  <c r="B184" i="1"/>
  <c r="H183" i="1"/>
  <c r="G183" i="1"/>
  <c r="F183" i="1"/>
  <c r="E183" i="1"/>
  <c r="D183" i="1"/>
  <c r="C183" i="1"/>
  <c r="B183" i="1"/>
  <c r="H182" i="1"/>
  <c r="G182" i="1"/>
  <c r="F182" i="1"/>
  <c r="E182" i="1"/>
  <c r="D182" i="1"/>
  <c r="C182" i="1"/>
  <c r="B182" i="1"/>
  <c r="G181" i="1"/>
  <c r="F181" i="1"/>
  <c r="E181" i="1"/>
  <c r="D181" i="1"/>
  <c r="C181" i="1"/>
  <c r="B181" i="1"/>
  <c r="G180" i="1"/>
  <c r="F180" i="1"/>
  <c r="E180" i="1"/>
  <c r="D180" i="1"/>
  <c r="C180" i="1"/>
  <c r="B180" i="1"/>
  <c r="H179" i="1"/>
  <c r="G179" i="1"/>
  <c r="F179" i="1"/>
  <c r="E179" i="1"/>
  <c r="D179" i="1"/>
  <c r="C179" i="1"/>
  <c r="B179" i="1"/>
  <c r="H178" i="1"/>
  <c r="G178" i="1"/>
  <c r="F178" i="1"/>
  <c r="E178" i="1"/>
  <c r="D178" i="1"/>
  <c r="C178" i="1"/>
  <c r="B178" i="1"/>
  <c r="H177" i="1"/>
  <c r="G177" i="1"/>
  <c r="F177" i="1"/>
  <c r="E177" i="1"/>
  <c r="D177" i="1"/>
  <c r="C177" i="1"/>
  <c r="B177" i="1"/>
  <c r="H176" i="1"/>
  <c r="G176" i="1"/>
  <c r="F176" i="1"/>
  <c r="E176" i="1"/>
  <c r="D176" i="1"/>
  <c r="C176" i="1"/>
  <c r="B176" i="1"/>
  <c r="H175" i="1"/>
  <c r="G175" i="1"/>
  <c r="F175" i="1"/>
  <c r="E175" i="1"/>
  <c r="D175" i="1"/>
  <c r="C175" i="1"/>
  <c r="B175" i="1"/>
  <c r="H174" i="1"/>
  <c r="G174" i="1"/>
  <c r="F174" i="1"/>
  <c r="E174" i="1"/>
  <c r="D174" i="1"/>
  <c r="C174" i="1"/>
  <c r="B174" i="1"/>
  <c r="H173" i="1"/>
  <c r="G173" i="1"/>
  <c r="F173" i="1"/>
  <c r="E173" i="1"/>
  <c r="D173" i="1"/>
  <c r="C173" i="1"/>
  <c r="B173" i="1"/>
  <c r="H172" i="1"/>
  <c r="G172" i="1"/>
  <c r="F172" i="1"/>
  <c r="E172" i="1"/>
  <c r="D172" i="1"/>
  <c r="C172" i="1"/>
  <c r="B172" i="1"/>
  <c r="H171" i="1"/>
  <c r="G171" i="1"/>
  <c r="F171" i="1"/>
  <c r="E171" i="1"/>
  <c r="D171" i="1"/>
  <c r="C171" i="1"/>
  <c r="B171" i="1"/>
  <c r="H170" i="1"/>
  <c r="G170" i="1"/>
  <c r="F170" i="1"/>
  <c r="E170" i="1"/>
  <c r="D170" i="1"/>
  <c r="C170" i="1"/>
  <c r="B170" i="1"/>
  <c r="H169" i="1"/>
  <c r="G169" i="1"/>
  <c r="F169" i="1"/>
  <c r="E169" i="1"/>
  <c r="D169" i="1"/>
  <c r="C169" i="1"/>
  <c r="B169" i="1"/>
  <c r="H168" i="1"/>
  <c r="G168" i="1"/>
  <c r="F168" i="1"/>
  <c r="E168" i="1"/>
  <c r="D168" i="1"/>
  <c r="C168" i="1"/>
  <c r="B168" i="1"/>
  <c r="H167" i="1"/>
  <c r="G167" i="1"/>
  <c r="F167" i="1"/>
  <c r="E167" i="1"/>
  <c r="D167" i="1"/>
  <c r="C167" i="1"/>
  <c r="B167" i="1"/>
  <c r="H166" i="1"/>
  <c r="G166" i="1"/>
  <c r="F166" i="1"/>
  <c r="E166" i="1"/>
  <c r="D166" i="1"/>
  <c r="C166" i="1"/>
  <c r="B166" i="1"/>
  <c r="G165" i="1"/>
  <c r="F165" i="1"/>
  <c r="E165" i="1"/>
  <c r="D165" i="1"/>
  <c r="C165" i="1"/>
  <c r="B165" i="1"/>
  <c r="G164" i="1"/>
  <c r="F164" i="1"/>
  <c r="E164" i="1"/>
  <c r="D164" i="1"/>
  <c r="C164" i="1"/>
  <c r="B164" i="1"/>
  <c r="G163" i="1"/>
  <c r="F163" i="1"/>
  <c r="E163" i="1"/>
  <c r="D163" i="1"/>
  <c r="C163" i="1"/>
  <c r="B163" i="1"/>
  <c r="G162" i="1"/>
  <c r="F162" i="1"/>
  <c r="E162" i="1"/>
  <c r="D162" i="1"/>
  <c r="C162" i="1"/>
  <c r="B162" i="1"/>
  <c r="G159" i="1"/>
  <c r="F159" i="1"/>
  <c r="E159" i="1"/>
  <c r="D159" i="1"/>
  <c r="C159" i="1"/>
  <c r="B159" i="1"/>
  <c r="G158" i="1"/>
  <c r="F158" i="1"/>
  <c r="E158" i="1"/>
  <c r="D158" i="1"/>
  <c r="C158" i="1"/>
  <c r="B158" i="1"/>
  <c r="H157" i="1"/>
  <c r="G157" i="1"/>
  <c r="F157" i="1"/>
  <c r="E157" i="1"/>
  <c r="D157" i="1"/>
  <c r="C157" i="1"/>
  <c r="B157" i="1"/>
  <c r="H156" i="1"/>
  <c r="G156" i="1"/>
  <c r="F156" i="1"/>
  <c r="E156" i="1"/>
  <c r="D156" i="1"/>
  <c r="C156" i="1"/>
  <c r="B156" i="1"/>
  <c r="H155" i="1"/>
  <c r="G155" i="1"/>
  <c r="F155" i="1"/>
  <c r="E155" i="1"/>
  <c r="D155" i="1"/>
  <c r="C155" i="1"/>
  <c r="B155" i="1"/>
  <c r="H154" i="1"/>
  <c r="G154" i="1"/>
  <c r="F154" i="1"/>
  <c r="E154" i="1"/>
  <c r="D154" i="1"/>
  <c r="C154" i="1"/>
  <c r="B154" i="1"/>
  <c r="H153" i="1"/>
  <c r="G153" i="1"/>
  <c r="F153" i="1"/>
  <c r="E153" i="1"/>
  <c r="D153" i="1"/>
  <c r="C153" i="1"/>
  <c r="B153" i="1"/>
  <c r="H152" i="1"/>
  <c r="G152" i="1"/>
  <c r="F152" i="1"/>
  <c r="E152" i="1"/>
  <c r="D152" i="1"/>
  <c r="C152" i="1"/>
  <c r="B152" i="1"/>
  <c r="H151" i="1"/>
  <c r="G151" i="1"/>
  <c r="F151" i="1"/>
  <c r="E151" i="1"/>
  <c r="D151" i="1"/>
  <c r="C151" i="1"/>
  <c r="B151" i="1"/>
  <c r="H150" i="1"/>
  <c r="G150" i="1"/>
  <c r="F150" i="1"/>
  <c r="E150" i="1"/>
  <c r="D150" i="1"/>
  <c r="C150" i="1"/>
  <c r="B150" i="1"/>
  <c r="H149" i="1"/>
  <c r="G149" i="1"/>
  <c r="F149" i="1"/>
  <c r="E149" i="1"/>
  <c r="D149" i="1"/>
  <c r="C149" i="1"/>
  <c r="B149" i="1"/>
  <c r="H148" i="1"/>
  <c r="G148" i="1"/>
  <c r="F148" i="1"/>
  <c r="E148" i="1"/>
  <c r="D148" i="1"/>
  <c r="C148" i="1"/>
  <c r="B148" i="1"/>
  <c r="H147" i="1"/>
  <c r="G147" i="1"/>
  <c r="F147" i="1"/>
  <c r="E147" i="1"/>
  <c r="D147" i="1"/>
  <c r="C147" i="1"/>
  <c r="B147" i="1"/>
  <c r="H146" i="1"/>
  <c r="G146" i="1"/>
  <c r="F146" i="1"/>
  <c r="E146" i="1"/>
  <c r="D146" i="1"/>
  <c r="C146" i="1"/>
  <c r="B146" i="1"/>
  <c r="H145" i="1"/>
  <c r="G145" i="1"/>
  <c r="F145" i="1"/>
  <c r="E145" i="1"/>
  <c r="D145" i="1"/>
  <c r="C145" i="1"/>
  <c r="B145" i="1"/>
  <c r="H144" i="1"/>
  <c r="G144" i="1"/>
  <c r="F144" i="1"/>
  <c r="E144" i="1"/>
  <c r="D144" i="1"/>
  <c r="C144" i="1"/>
  <c r="B144" i="1"/>
  <c r="H143" i="1"/>
  <c r="G143" i="1"/>
  <c r="F143" i="1"/>
  <c r="E143" i="1"/>
  <c r="D143" i="1"/>
  <c r="C143" i="1"/>
  <c r="B143" i="1"/>
  <c r="H142" i="1"/>
  <c r="G142" i="1"/>
  <c r="F142" i="1"/>
  <c r="E142" i="1"/>
  <c r="D142" i="1"/>
  <c r="C142" i="1"/>
  <c r="B142" i="1"/>
  <c r="H141" i="1"/>
  <c r="G141" i="1"/>
  <c r="F141" i="1"/>
  <c r="E141" i="1"/>
  <c r="D141" i="1"/>
  <c r="C141" i="1"/>
  <c r="B141" i="1"/>
  <c r="H140" i="1"/>
  <c r="G140" i="1"/>
  <c r="F140" i="1"/>
  <c r="E140" i="1"/>
  <c r="D140" i="1"/>
  <c r="C140" i="1"/>
  <c r="B140" i="1"/>
  <c r="H139" i="1"/>
  <c r="G139" i="1"/>
  <c r="F139" i="1"/>
  <c r="E139" i="1"/>
  <c r="D139" i="1"/>
  <c r="C139" i="1"/>
  <c r="B139" i="1"/>
  <c r="H138" i="1"/>
  <c r="G138" i="1"/>
  <c r="F138" i="1"/>
  <c r="E138" i="1"/>
  <c r="D138" i="1"/>
  <c r="C138" i="1"/>
  <c r="B138" i="1"/>
  <c r="H137" i="1"/>
  <c r="G137" i="1"/>
  <c r="F137" i="1"/>
  <c r="E137" i="1"/>
  <c r="D137" i="1"/>
  <c r="C137" i="1"/>
  <c r="B137" i="1"/>
  <c r="H136" i="1"/>
  <c r="G136" i="1"/>
  <c r="F136" i="1"/>
  <c r="E136" i="1"/>
  <c r="D136" i="1"/>
  <c r="C136" i="1"/>
  <c r="B136" i="1"/>
  <c r="H135" i="1"/>
  <c r="G135" i="1"/>
  <c r="F135" i="1"/>
  <c r="E135" i="1"/>
  <c r="D135" i="1"/>
  <c r="C135" i="1"/>
  <c r="B135" i="1"/>
  <c r="H134" i="1"/>
  <c r="G134" i="1"/>
  <c r="F134" i="1"/>
  <c r="E134" i="1"/>
  <c r="D134" i="1"/>
  <c r="C134" i="1"/>
  <c r="B134" i="1"/>
  <c r="H133" i="1"/>
  <c r="G133" i="1"/>
  <c r="F133" i="1"/>
  <c r="E133" i="1"/>
  <c r="D133" i="1"/>
  <c r="C133" i="1"/>
  <c r="B133" i="1"/>
  <c r="H132" i="1"/>
  <c r="G132" i="1"/>
  <c r="F132" i="1"/>
  <c r="E132" i="1"/>
  <c r="D132" i="1"/>
  <c r="C132" i="1"/>
  <c r="B132" i="1"/>
  <c r="H131" i="1"/>
  <c r="G131" i="1"/>
  <c r="F131" i="1"/>
  <c r="E131" i="1"/>
  <c r="D131" i="1"/>
  <c r="C131" i="1"/>
  <c r="B131" i="1"/>
  <c r="H130" i="1"/>
  <c r="G130" i="1"/>
  <c r="F130" i="1"/>
  <c r="E130" i="1"/>
  <c r="D130" i="1"/>
  <c r="C130" i="1"/>
  <c r="B130" i="1"/>
  <c r="H129" i="1"/>
  <c r="G129" i="1"/>
  <c r="F129" i="1"/>
  <c r="E129" i="1"/>
  <c r="D129" i="1"/>
  <c r="C129" i="1"/>
  <c r="B129" i="1"/>
  <c r="H128" i="1"/>
  <c r="G128" i="1"/>
  <c r="F128" i="1"/>
  <c r="E128" i="1"/>
  <c r="D128" i="1"/>
  <c r="C128" i="1"/>
  <c r="B128" i="1"/>
  <c r="H127" i="1"/>
  <c r="G127" i="1"/>
  <c r="F127" i="1"/>
  <c r="E127" i="1"/>
  <c r="D127" i="1"/>
  <c r="C127" i="1"/>
  <c r="B127" i="1"/>
  <c r="H126" i="1"/>
  <c r="G126" i="1"/>
  <c r="F126" i="1"/>
  <c r="E126" i="1"/>
  <c r="D126" i="1"/>
  <c r="C126" i="1"/>
  <c r="B126" i="1"/>
  <c r="H125" i="1"/>
  <c r="G125" i="1"/>
  <c r="F125" i="1"/>
  <c r="E125" i="1"/>
  <c r="D125" i="1"/>
  <c r="C125" i="1"/>
  <c r="B125" i="1"/>
  <c r="H124" i="1"/>
  <c r="G124" i="1"/>
  <c r="F124" i="1"/>
  <c r="E124" i="1"/>
  <c r="D124" i="1"/>
  <c r="C124" i="1"/>
  <c r="B124" i="1"/>
  <c r="H123" i="1"/>
  <c r="G123" i="1"/>
  <c r="F123" i="1"/>
  <c r="E123" i="1"/>
  <c r="D123" i="1"/>
  <c r="C123" i="1"/>
  <c r="B123" i="1"/>
  <c r="H122" i="1"/>
  <c r="G122" i="1"/>
  <c r="F122" i="1"/>
  <c r="E122" i="1"/>
  <c r="D122" i="1"/>
  <c r="C122" i="1"/>
  <c r="B122" i="1"/>
  <c r="H121" i="1"/>
  <c r="G121" i="1"/>
  <c r="F121" i="1"/>
  <c r="E121" i="1"/>
  <c r="D121" i="1"/>
  <c r="C121" i="1"/>
  <c r="B121" i="1"/>
  <c r="H120" i="1"/>
  <c r="G120" i="1"/>
  <c r="F120" i="1"/>
  <c r="E120" i="1"/>
  <c r="D120" i="1"/>
  <c r="C120" i="1"/>
  <c r="B120" i="1"/>
  <c r="H119" i="1"/>
  <c r="E119" i="1"/>
  <c r="D119" i="1"/>
  <c r="C119" i="1"/>
  <c r="B119" i="1"/>
  <c r="H118" i="1"/>
  <c r="E118" i="1"/>
  <c r="D118" i="1"/>
  <c r="C118" i="1"/>
  <c r="B118" i="1"/>
  <c r="H117" i="1"/>
  <c r="E117" i="1"/>
  <c r="D117" i="1"/>
  <c r="C117" i="1"/>
  <c r="B117" i="1"/>
  <c r="H116" i="1"/>
  <c r="E116" i="1"/>
  <c r="D116" i="1"/>
  <c r="C116" i="1"/>
  <c r="B116" i="1"/>
  <c r="H115" i="1"/>
  <c r="E115" i="1"/>
  <c r="D115" i="1"/>
  <c r="C115" i="1"/>
  <c r="B115" i="1"/>
  <c r="H114" i="1"/>
  <c r="E114" i="1"/>
  <c r="D114" i="1"/>
  <c r="C114" i="1"/>
  <c r="B114" i="1"/>
  <c r="H113" i="1"/>
  <c r="E113" i="1"/>
  <c r="D113" i="1"/>
  <c r="C113" i="1"/>
  <c r="B113" i="1"/>
  <c r="H112" i="1"/>
  <c r="E112" i="1"/>
  <c r="D112" i="1"/>
  <c r="C112" i="1"/>
  <c r="B112" i="1"/>
  <c r="H111" i="1"/>
  <c r="G111" i="1"/>
  <c r="F111" i="1"/>
  <c r="E111" i="1"/>
  <c r="D111" i="1"/>
  <c r="C111" i="1"/>
  <c r="B111" i="1"/>
  <c r="H109" i="1"/>
  <c r="G109" i="1"/>
  <c r="F109" i="1"/>
  <c r="E109" i="1"/>
  <c r="D109" i="1"/>
  <c r="C109" i="1"/>
  <c r="B109" i="1"/>
  <c r="H108" i="1"/>
  <c r="G108" i="1"/>
  <c r="F108" i="1"/>
  <c r="E108" i="1"/>
  <c r="D108" i="1"/>
  <c r="C108" i="1"/>
  <c r="B108" i="1"/>
  <c r="H107" i="1"/>
  <c r="G107" i="1"/>
  <c r="F107" i="1"/>
  <c r="E107" i="1"/>
  <c r="D107" i="1"/>
  <c r="C107" i="1"/>
  <c r="B107" i="1"/>
  <c r="G106" i="1"/>
  <c r="F106" i="1"/>
  <c r="E106" i="1"/>
  <c r="D106" i="1"/>
  <c r="C106" i="1"/>
  <c r="B106" i="1"/>
  <c r="G105" i="1"/>
  <c r="F105" i="1"/>
  <c r="E105" i="1"/>
  <c r="D105" i="1"/>
  <c r="C105" i="1"/>
  <c r="B105" i="1"/>
  <c r="G104" i="1"/>
  <c r="F104" i="1"/>
  <c r="E104" i="1"/>
  <c r="D104" i="1"/>
  <c r="C104" i="1"/>
  <c r="B104" i="1"/>
  <c r="H103" i="1"/>
  <c r="G103" i="1"/>
  <c r="F103" i="1"/>
  <c r="E103" i="1"/>
  <c r="D103" i="1"/>
  <c r="C103" i="1"/>
  <c r="B103" i="1"/>
  <c r="H102" i="1"/>
  <c r="G102" i="1"/>
  <c r="F102" i="1"/>
  <c r="E102" i="1"/>
  <c r="D102" i="1"/>
  <c r="C102" i="1"/>
  <c r="B102" i="1"/>
  <c r="H101" i="1"/>
  <c r="G101" i="1"/>
  <c r="F101" i="1"/>
  <c r="E101" i="1"/>
  <c r="D101" i="1"/>
  <c r="C101" i="1"/>
  <c r="B101" i="1"/>
  <c r="H100" i="1"/>
  <c r="G100" i="1"/>
  <c r="F100" i="1"/>
  <c r="E100" i="1"/>
  <c r="D100" i="1"/>
  <c r="C100" i="1"/>
  <c r="B100" i="1"/>
  <c r="H99" i="1"/>
  <c r="G99" i="1"/>
  <c r="F99" i="1"/>
  <c r="E99" i="1"/>
  <c r="D99" i="1"/>
  <c r="C99" i="1"/>
  <c r="B99" i="1"/>
  <c r="H98" i="1"/>
  <c r="G98" i="1"/>
  <c r="F98" i="1"/>
  <c r="E98" i="1"/>
  <c r="D98" i="1"/>
  <c r="C98" i="1"/>
  <c r="B98" i="1"/>
  <c r="H97" i="1"/>
  <c r="G97" i="1"/>
  <c r="F97" i="1"/>
  <c r="E97" i="1"/>
  <c r="D97" i="1"/>
  <c r="C97" i="1"/>
  <c r="B97" i="1"/>
  <c r="H96" i="1"/>
  <c r="G96" i="1"/>
  <c r="F96" i="1"/>
  <c r="E96" i="1"/>
  <c r="D96" i="1"/>
  <c r="C96" i="1"/>
  <c r="B96" i="1"/>
  <c r="G95" i="1"/>
  <c r="F95" i="1"/>
  <c r="E95" i="1"/>
  <c r="D95" i="1"/>
  <c r="C95" i="1"/>
  <c r="B95" i="1"/>
  <c r="H94" i="1"/>
  <c r="G94" i="1"/>
  <c r="F94" i="1"/>
  <c r="E94" i="1"/>
  <c r="D94" i="1"/>
  <c r="C94" i="1"/>
  <c r="B94" i="1"/>
  <c r="H93" i="1"/>
  <c r="G93" i="1"/>
  <c r="F93" i="1"/>
  <c r="E93" i="1"/>
  <c r="D93" i="1"/>
  <c r="C93" i="1"/>
  <c r="B93" i="1"/>
  <c r="H92" i="1"/>
  <c r="G92" i="1"/>
  <c r="F92" i="1"/>
  <c r="E92" i="1"/>
  <c r="D92" i="1"/>
  <c r="C92" i="1"/>
  <c r="B92" i="1"/>
  <c r="H91" i="1"/>
  <c r="G91" i="1"/>
  <c r="F91" i="1"/>
  <c r="E91" i="1"/>
  <c r="D91" i="1"/>
  <c r="C91" i="1"/>
  <c r="B91" i="1"/>
  <c r="H90" i="1"/>
  <c r="G90" i="1"/>
  <c r="F90" i="1"/>
  <c r="E90" i="1"/>
  <c r="D90" i="1"/>
  <c r="C90" i="1"/>
  <c r="B90" i="1"/>
  <c r="H89" i="1"/>
  <c r="G89" i="1"/>
  <c r="F89" i="1"/>
  <c r="E89" i="1"/>
  <c r="D89" i="1"/>
  <c r="C89" i="1"/>
  <c r="B89" i="1"/>
  <c r="H88" i="1"/>
  <c r="G88" i="1"/>
  <c r="F88" i="1"/>
  <c r="E88" i="1"/>
  <c r="D88" i="1"/>
  <c r="C88" i="1"/>
  <c r="B88" i="1"/>
  <c r="H84" i="1"/>
  <c r="G84" i="1"/>
  <c r="F84" i="1"/>
  <c r="E84" i="1"/>
  <c r="D84" i="1"/>
  <c r="C84" i="1"/>
  <c r="B84" i="1"/>
  <c r="H83" i="1"/>
  <c r="G83" i="1"/>
  <c r="F83" i="1"/>
  <c r="E83" i="1"/>
  <c r="D83" i="1"/>
  <c r="C83" i="1"/>
  <c r="B83" i="1"/>
  <c r="H82" i="1"/>
  <c r="G82" i="1"/>
  <c r="F82" i="1"/>
  <c r="E82" i="1"/>
  <c r="D82" i="1"/>
  <c r="C82" i="1"/>
  <c r="B82" i="1"/>
  <c r="H81" i="1"/>
  <c r="G81" i="1"/>
  <c r="F81" i="1"/>
  <c r="E81" i="1"/>
  <c r="D81" i="1"/>
  <c r="C81" i="1"/>
  <c r="B81" i="1"/>
  <c r="H80" i="1"/>
  <c r="G80" i="1"/>
  <c r="F80" i="1"/>
  <c r="E80" i="1"/>
  <c r="D80" i="1"/>
  <c r="C80" i="1"/>
  <c r="B80" i="1"/>
  <c r="G79" i="1"/>
  <c r="F79" i="1"/>
  <c r="E79" i="1"/>
  <c r="D79" i="1"/>
  <c r="C79" i="1"/>
  <c r="B79" i="1"/>
  <c r="H78" i="1"/>
  <c r="G78" i="1"/>
  <c r="F78" i="1"/>
  <c r="E78" i="1"/>
  <c r="D78" i="1"/>
  <c r="C78" i="1"/>
  <c r="B78" i="1"/>
  <c r="H77" i="1"/>
  <c r="G77" i="1"/>
  <c r="F77" i="1"/>
  <c r="E77" i="1"/>
  <c r="D77" i="1"/>
  <c r="C77" i="1"/>
  <c r="B77" i="1"/>
  <c r="H76" i="1"/>
  <c r="G76" i="1"/>
  <c r="F76" i="1"/>
  <c r="E76" i="1"/>
  <c r="D76" i="1"/>
  <c r="C76" i="1"/>
  <c r="B76" i="1"/>
  <c r="H75" i="1"/>
  <c r="G75" i="1"/>
  <c r="F75" i="1"/>
  <c r="E75" i="1"/>
  <c r="D75" i="1"/>
  <c r="C75" i="1"/>
  <c r="B75" i="1"/>
  <c r="H74" i="1"/>
  <c r="G74" i="1"/>
  <c r="F74" i="1"/>
  <c r="E74" i="1"/>
  <c r="D74" i="1"/>
  <c r="C74" i="1"/>
  <c r="B74" i="1"/>
  <c r="H73" i="1"/>
  <c r="G73" i="1"/>
  <c r="F73" i="1"/>
  <c r="E73" i="1"/>
  <c r="D73" i="1"/>
  <c r="C73" i="1"/>
  <c r="B73" i="1"/>
  <c r="H72" i="1"/>
  <c r="G72" i="1"/>
  <c r="F72" i="1"/>
  <c r="E72" i="1"/>
  <c r="D72" i="1"/>
  <c r="C72" i="1"/>
  <c r="B72" i="1"/>
  <c r="H71" i="1"/>
  <c r="G71" i="1"/>
  <c r="F71" i="1"/>
  <c r="E71" i="1"/>
  <c r="D71" i="1"/>
  <c r="C71" i="1"/>
  <c r="B71" i="1"/>
  <c r="H70" i="1"/>
  <c r="G70" i="1"/>
  <c r="F70" i="1"/>
  <c r="E70" i="1"/>
  <c r="D70" i="1"/>
  <c r="C70" i="1"/>
  <c r="B70" i="1"/>
  <c r="H69" i="1"/>
  <c r="G69" i="1"/>
  <c r="F69" i="1"/>
  <c r="E69" i="1"/>
  <c r="D69" i="1"/>
  <c r="C69" i="1"/>
  <c r="B69" i="1"/>
  <c r="H68" i="1"/>
  <c r="G68" i="1"/>
  <c r="F68" i="1"/>
  <c r="E68" i="1"/>
  <c r="D68" i="1"/>
  <c r="C68" i="1"/>
  <c r="B68" i="1"/>
  <c r="G67" i="1"/>
  <c r="F67" i="1"/>
  <c r="E67" i="1"/>
  <c r="D67" i="1"/>
  <c r="C67" i="1"/>
  <c r="B67" i="1"/>
  <c r="G66" i="1"/>
  <c r="F66" i="1"/>
  <c r="E66" i="1"/>
  <c r="D66" i="1"/>
  <c r="C66" i="1"/>
  <c r="B66" i="1"/>
  <c r="G65" i="1"/>
  <c r="F65" i="1"/>
  <c r="E65" i="1"/>
  <c r="D65" i="1"/>
  <c r="C65" i="1"/>
  <c r="B65" i="1"/>
  <c r="H64" i="1"/>
  <c r="G64" i="1"/>
  <c r="F64" i="1"/>
  <c r="E64" i="1"/>
  <c r="D64" i="1"/>
  <c r="C64" i="1"/>
  <c r="B64" i="1"/>
  <c r="G63" i="1"/>
  <c r="F63" i="1"/>
  <c r="E63" i="1"/>
  <c r="D63" i="1"/>
  <c r="C63" i="1"/>
  <c r="B63" i="1"/>
  <c r="H62" i="1"/>
  <c r="G62" i="1"/>
  <c r="F62" i="1"/>
  <c r="E62" i="1"/>
  <c r="D62" i="1"/>
  <c r="C62" i="1"/>
  <c r="B62" i="1"/>
  <c r="H61" i="1"/>
  <c r="G61" i="1"/>
  <c r="F61" i="1"/>
  <c r="E61" i="1"/>
  <c r="D61" i="1"/>
  <c r="C61" i="1"/>
  <c r="B61" i="1"/>
  <c r="H60" i="1"/>
  <c r="G60" i="1"/>
  <c r="F60" i="1"/>
  <c r="E60" i="1"/>
  <c r="D60" i="1"/>
  <c r="C60" i="1"/>
  <c r="B60" i="1"/>
  <c r="H58" i="1"/>
  <c r="G58" i="1"/>
  <c r="F58" i="1"/>
  <c r="E58" i="1"/>
  <c r="D58" i="1"/>
  <c r="C58" i="1"/>
  <c r="B58" i="1"/>
  <c r="H57" i="1"/>
  <c r="G57" i="1"/>
  <c r="F57" i="1"/>
  <c r="E57" i="1"/>
  <c r="D57" i="1"/>
  <c r="C57" i="1"/>
  <c r="B57" i="1"/>
  <c r="H56" i="1"/>
  <c r="G56" i="1"/>
  <c r="F56" i="1"/>
  <c r="E56" i="1"/>
  <c r="D56" i="1"/>
  <c r="C56" i="1"/>
  <c r="B56" i="1"/>
  <c r="H54" i="1"/>
  <c r="G54" i="1"/>
  <c r="F54" i="1"/>
  <c r="E54" i="1"/>
  <c r="D54" i="1"/>
  <c r="C54" i="1"/>
  <c r="B54" i="1"/>
  <c r="H53" i="1"/>
  <c r="G53" i="1"/>
  <c r="F53" i="1"/>
  <c r="E53" i="1"/>
  <c r="D53" i="1"/>
  <c r="C53" i="1"/>
  <c r="B53" i="1"/>
  <c r="H52" i="1"/>
  <c r="G52" i="1"/>
  <c r="F52" i="1"/>
  <c r="E52" i="1"/>
  <c r="D52" i="1"/>
  <c r="C52" i="1"/>
  <c r="B52" i="1"/>
  <c r="H51" i="1"/>
  <c r="G51" i="1"/>
  <c r="F51" i="1"/>
  <c r="E51" i="1"/>
  <c r="D51" i="1"/>
  <c r="C51" i="1"/>
  <c r="B51" i="1"/>
  <c r="H50" i="1"/>
  <c r="G50" i="1"/>
  <c r="F50" i="1"/>
  <c r="E50" i="1"/>
  <c r="D50" i="1"/>
  <c r="C50" i="1"/>
  <c r="B50" i="1"/>
  <c r="H49" i="1"/>
  <c r="G49" i="1"/>
  <c r="F49" i="1"/>
  <c r="E49" i="1"/>
  <c r="D49" i="1"/>
  <c r="C49" i="1"/>
  <c r="B49" i="1"/>
  <c r="H48" i="1"/>
  <c r="G48" i="1"/>
  <c r="F48" i="1"/>
  <c r="E48" i="1"/>
  <c r="D48" i="1"/>
  <c r="C48" i="1"/>
  <c r="B48" i="1"/>
  <c r="H47" i="1"/>
  <c r="G47" i="1"/>
  <c r="F47" i="1"/>
  <c r="E47" i="1"/>
  <c r="D47" i="1"/>
  <c r="C47" i="1"/>
  <c r="B47" i="1"/>
  <c r="G46" i="1"/>
  <c r="F46" i="1"/>
  <c r="E46" i="1"/>
  <c r="D46" i="1"/>
  <c r="C46" i="1"/>
  <c r="B46" i="1"/>
  <c r="H45" i="1"/>
  <c r="G45" i="1"/>
  <c r="F45" i="1"/>
  <c r="E45" i="1"/>
  <c r="D45" i="1"/>
  <c r="C45" i="1"/>
  <c r="B45" i="1"/>
  <c r="H44" i="1"/>
  <c r="G44" i="1"/>
  <c r="F44" i="1"/>
  <c r="E44" i="1"/>
  <c r="D44" i="1"/>
  <c r="C44" i="1"/>
  <c r="B44" i="1"/>
  <c r="H43" i="1"/>
  <c r="G43" i="1"/>
  <c r="F43" i="1"/>
  <c r="E43" i="1"/>
  <c r="D43" i="1"/>
  <c r="C43" i="1"/>
  <c r="B43" i="1"/>
  <c r="H42" i="1"/>
  <c r="G42" i="1"/>
  <c r="F42" i="1"/>
  <c r="E42" i="1"/>
  <c r="D42" i="1"/>
  <c r="C42" i="1"/>
  <c r="B42" i="1"/>
  <c r="H41" i="1"/>
  <c r="G41" i="1"/>
  <c r="F41" i="1"/>
  <c r="E41" i="1"/>
  <c r="D41" i="1"/>
  <c r="C41" i="1"/>
  <c r="B41" i="1"/>
  <c r="H40" i="1"/>
  <c r="G40" i="1"/>
  <c r="F40" i="1"/>
  <c r="E40" i="1"/>
  <c r="D40" i="1"/>
  <c r="C40" i="1"/>
  <c r="B40" i="1"/>
  <c r="H39" i="1"/>
  <c r="G39" i="1"/>
  <c r="F39" i="1"/>
  <c r="E39" i="1"/>
  <c r="D39" i="1"/>
  <c r="C39" i="1"/>
  <c r="B39" i="1"/>
  <c r="H38" i="1"/>
  <c r="G38" i="1"/>
  <c r="F38" i="1"/>
  <c r="E38" i="1"/>
  <c r="D38" i="1"/>
  <c r="C38" i="1"/>
  <c r="B38" i="1"/>
  <c r="H37" i="1"/>
  <c r="G37" i="1"/>
  <c r="F37" i="1"/>
  <c r="E37" i="1"/>
  <c r="D37" i="1"/>
  <c r="C37" i="1"/>
  <c r="B37" i="1"/>
  <c r="H36" i="1"/>
  <c r="G36" i="1"/>
  <c r="F36" i="1"/>
  <c r="E36" i="1"/>
  <c r="D36" i="1"/>
  <c r="C36" i="1"/>
  <c r="B36" i="1"/>
  <c r="H35" i="1"/>
  <c r="G35" i="1"/>
  <c r="F35" i="1"/>
  <c r="E35" i="1"/>
  <c r="D35" i="1"/>
  <c r="C35" i="1"/>
  <c r="B35" i="1"/>
  <c r="H34" i="1"/>
  <c r="G34" i="1"/>
  <c r="F34" i="1"/>
  <c r="E34" i="1"/>
  <c r="D34" i="1"/>
  <c r="C34" i="1"/>
  <c r="B34" i="1"/>
  <c r="H33" i="1"/>
  <c r="G33" i="1"/>
  <c r="F33" i="1"/>
  <c r="E33" i="1"/>
  <c r="D33" i="1"/>
  <c r="C33" i="1"/>
  <c r="B33" i="1"/>
  <c r="H32" i="1"/>
  <c r="G32" i="1"/>
  <c r="F32" i="1"/>
  <c r="E32" i="1"/>
  <c r="D32" i="1"/>
  <c r="C32" i="1"/>
  <c r="B32" i="1"/>
  <c r="H31" i="1"/>
  <c r="G31" i="1"/>
  <c r="F31" i="1"/>
  <c r="E31" i="1"/>
  <c r="D31" i="1"/>
  <c r="C31" i="1"/>
  <c r="B31" i="1"/>
  <c r="H30" i="1"/>
  <c r="G30" i="1"/>
  <c r="F30" i="1"/>
  <c r="E30" i="1"/>
  <c r="D30" i="1"/>
  <c r="C30" i="1"/>
  <c r="B30" i="1"/>
  <c r="H29" i="1"/>
  <c r="G29" i="1"/>
  <c r="F29" i="1"/>
  <c r="E29" i="1"/>
  <c r="D29" i="1"/>
  <c r="C29" i="1"/>
  <c r="B29" i="1"/>
  <c r="H28" i="1"/>
  <c r="G28" i="1"/>
  <c r="F28" i="1"/>
  <c r="E28" i="1"/>
  <c r="D28" i="1"/>
  <c r="C28" i="1"/>
  <c r="B28" i="1"/>
  <c r="H26" i="1"/>
  <c r="G26" i="1"/>
  <c r="F26" i="1"/>
  <c r="E26" i="1"/>
  <c r="D26" i="1"/>
  <c r="C26" i="1"/>
  <c r="B26" i="1"/>
  <c r="H25" i="1"/>
  <c r="G25" i="1"/>
  <c r="F25" i="1"/>
  <c r="E25" i="1"/>
  <c r="D25" i="1"/>
  <c r="C25" i="1"/>
  <c r="B25" i="1"/>
  <c r="H24" i="1"/>
  <c r="G24" i="1"/>
  <c r="F24" i="1"/>
  <c r="E24" i="1"/>
  <c r="D24" i="1"/>
  <c r="C24" i="1"/>
  <c r="B24" i="1"/>
  <c r="H23" i="1"/>
  <c r="G23" i="1"/>
  <c r="F23" i="1"/>
  <c r="E23" i="1"/>
  <c r="D23" i="1"/>
  <c r="C23" i="1"/>
  <c r="B23" i="1"/>
  <c r="H22" i="1"/>
  <c r="G22" i="1"/>
  <c r="F22" i="1"/>
  <c r="E22" i="1"/>
  <c r="D22" i="1"/>
  <c r="C22" i="1"/>
  <c r="B22" i="1"/>
  <c r="H21" i="1"/>
  <c r="G21" i="1"/>
  <c r="F21" i="1"/>
  <c r="E21" i="1"/>
  <c r="D21" i="1"/>
  <c r="C21" i="1"/>
  <c r="B21" i="1"/>
  <c r="H20" i="1"/>
  <c r="G20" i="1"/>
  <c r="F20" i="1"/>
  <c r="E20" i="1"/>
  <c r="D20" i="1"/>
  <c r="C20" i="1"/>
  <c r="B20" i="1"/>
  <c r="H19" i="1"/>
  <c r="G19" i="1"/>
  <c r="F19" i="1"/>
  <c r="E19" i="1"/>
  <c r="D19" i="1"/>
  <c r="C19" i="1"/>
  <c r="B19" i="1"/>
  <c r="H18" i="1"/>
  <c r="G18" i="1"/>
  <c r="F18" i="1"/>
  <c r="E18" i="1"/>
  <c r="D18" i="1"/>
  <c r="C18" i="1"/>
  <c r="B18" i="1"/>
  <c r="H17" i="1"/>
  <c r="G17" i="1"/>
  <c r="F17" i="1"/>
  <c r="E17" i="1"/>
  <c r="D17" i="1"/>
  <c r="C17" i="1"/>
  <c r="B17" i="1"/>
  <c r="H16" i="1"/>
  <c r="G16" i="1"/>
  <c r="F16" i="1"/>
  <c r="E16" i="1"/>
  <c r="D16" i="1"/>
  <c r="C16" i="1"/>
  <c r="B16" i="1"/>
  <c r="H15" i="1"/>
  <c r="G15" i="1"/>
  <c r="F15" i="1"/>
  <c r="E15" i="1"/>
  <c r="D15" i="1"/>
  <c r="C15" i="1"/>
  <c r="B15" i="1"/>
  <c r="H14" i="1"/>
  <c r="G14" i="1"/>
  <c r="F14" i="1"/>
  <c r="E14" i="1"/>
  <c r="D14" i="1"/>
  <c r="C14" i="1"/>
  <c r="B14" i="1"/>
  <c r="H13" i="1"/>
  <c r="G13" i="1"/>
  <c r="F13" i="1"/>
  <c r="E13" i="1"/>
  <c r="D13" i="1"/>
  <c r="C13" i="1"/>
  <c r="B13" i="1"/>
  <c r="H12" i="1"/>
  <c r="G12" i="1"/>
  <c r="F12" i="1"/>
  <c r="E12" i="1"/>
  <c r="D12" i="1"/>
  <c r="C12" i="1"/>
  <c r="B12" i="1"/>
  <c r="H11" i="1"/>
  <c r="G11" i="1"/>
  <c r="F11" i="1"/>
  <c r="E11" i="1"/>
  <c r="D11" i="1"/>
  <c r="C11" i="1"/>
  <c r="B11" i="1"/>
  <c r="H10" i="1"/>
  <c r="G10" i="1"/>
  <c r="F10" i="1"/>
  <c r="E10" i="1"/>
  <c r="D10" i="1"/>
  <c r="C10" i="1"/>
  <c r="B10" i="1"/>
  <c r="H9" i="1"/>
  <c r="G9" i="1"/>
  <c r="F9" i="1"/>
  <c r="E9" i="1"/>
  <c r="D9" i="1"/>
  <c r="C9" i="1"/>
  <c r="B9" i="1"/>
  <c r="H8" i="1"/>
  <c r="G8" i="1"/>
  <c r="F8" i="1"/>
  <c r="E8" i="1"/>
  <c r="D8" i="1"/>
  <c r="C8" i="1"/>
  <c r="B8" i="1"/>
  <c r="H7" i="1"/>
  <c r="G7" i="1"/>
  <c r="F7" i="1"/>
  <c r="E7" i="1"/>
  <c r="D7" i="1"/>
  <c r="C7" i="1"/>
  <c r="B7" i="1"/>
</calcChain>
</file>

<file path=xl/sharedStrings.xml><?xml version="1.0" encoding="utf-8"?>
<sst xmlns="http://schemas.openxmlformats.org/spreadsheetml/2006/main" count="284" uniqueCount="37">
  <si>
    <t>Manufacturer</t>
  </si>
  <si>
    <t>Comments</t>
  </si>
  <si>
    <t>End Date</t>
  </si>
  <si>
    <t>HCPCS Code</t>
  </si>
  <si>
    <t>Effective Date</t>
  </si>
  <si>
    <t>Product Name</t>
  </si>
  <si>
    <t>Model Number</t>
  </si>
  <si>
    <t>A9270</t>
  </si>
  <si>
    <t>Indicator</t>
  </si>
  <si>
    <t>A</t>
  </si>
  <si>
    <t>U</t>
  </si>
  <si>
    <t xml:space="preserve">DMECS Additions and Updates
Additions and Updates are in HCPCS Alphanumeric Order
</t>
  </si>
  <si>
    <t>A4467</t>
  </si>
  <si>
    <t>FIBRACOL PLUS COLLAGEN WOUND DRESSING WITH ALGINATE (COVER)</t>
  </si>
  <si>
    <t>JOHNSON &amp; JOHNSON (A DIVISION OF ETHICON INC)</t>
  </si>
  <si>
    <t>A6021</t>
  </si>
  <si>
    <t>FIBRACOL PLUS COLLAGE WOUND DRESSING WITH ALGINATE (FILLER)</t>
  </si>
  <si>
    <t>A6024</t>
  </si>
  <si>
    <t>ADAPTIC</t>
  </si>
  <si>
    <t>A6222</t>
  </si>
  <si>
    <t>ADAPTIC PG PETROLATUM GAUZE NON-ADHERING DRESSING</t>
  </si>
  <si>
    <t>ADAPTIC X XEROFORM GAUZE NON-ADHERENT DRESSING</t>
  </si>
  <si>
    <t>ADAPTIC (ROLL)</t>
  </si>
  <si>
    <t>A6266</t>
  </si>
  <si>
    <t>SIMPURITY HYDROGEL DRESSING 2 X 2 INCH WITH ADHESIVE BORDER</t>
  </si>
  <si>
    <t>SAFE N SIMPLE LLC</t>
  </si>
  <si>
    <t>SNS58312</t>
  </si>
  <si>
    <t>LORETA</t>
  </si>
  <si>
    <t>B &amp; S PARTNERS INC (DBA PILGRIM SHOES)</t>
  </si>
  <si>
    <t>P3166</t>
  </si>
  <si>
    <t>THE MIRACLE BACK (TLSO) FROM DOCTOR IN THE HOUSE</t>
  </si>
  <si>
    <t>DOCTOR IN THE HOUSE</t>
  </si>
  <si>
    <t>MB100</t>
  </si>
  <si>
    <t>HERNIA AID</t>
  </si>
  <si>
    <t>ALPHA MEDICAL LLC</t>
  </si>
  <si>
    <t>5000</t>
  </si>
  <si>
    <t>L8310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</si>
</sst>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0"/>
      <color theme="1"/>
      <name val="Calibri"/>
      <family val="2"/>
      <scheme val="minor"/>
    </font>
    <font>
      <b/>
      <sz val="11"/>
      <color theme="0"/>
      <name val="Calibri"/>
      <family val="2"/>
      <scheme val="minor"/>
    </font>
    <font>
      <b/>
      <sz val="10"/>
      <color theme="1"/>
      <name val="Calibri"/>
      <family val="2"/>
      <scheme val="minor"/>
    </font>
    <font>
      <sz val="9"/>
      <color theme="1"/>
      <name val="Calibri"/>
      <family val="2"/>
      <scheme val="minor"/>
    </font>
  </fonts>
  <fills count="3">
    <fill>
      <patternFill patternType="none"/>
    </fill>
    <fill>
      <patternFill patternType="gray125"/>
    </fill>
    <fill>
      <patternFill patternType="solid">
        <fgColor rgb="FFA5A5A5"/>
      </patternFill>
    </fill>
  </fills>
  <borders count="4">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n">
        <color indexed="64"/>
      </bottom>
      <diagonal/>
    </border>
  </borders>
  <cellStyleXfs count="2">
    <xf numFmtId="0" fontId="0" fillId="0" borderId="0"/>
    <xf numFmtId="0" fontId="2" fillId="2" borderId="2" applyNumberFormat="0" applyAlignment="0" applyProtection="0"/>
  </cellStyleXfs>
  <cellXfs count="13">
    <xf numFmtId="0" fontId="0" fillId="0" borderId="0" xfId="0"/>
    <xf numFmtId="0" fontId="1" fillId="0" borderId="0" xfId="0" applyFont="1" applyFill="1" applyAlignment="1">
      <alignment horizontal="left"/>
    </xf>
    <xf numFmtId="0" fontId="3" fillId="0" borderId="1" xfId="1" applyFont="1" applyFill="1" applyBorder="1" applyAlignment="1">
      <alignment horizontal="left" wrapText="1"/>
    </xf>
    <xf numFmtId="0" fontId="3" fillId="0" borderId="1" xfId="1" applyFont="1" applyFill="1" applyBorder="1" applyAlignment="1">
      <alignment horizontal="left" vertical="center" wrapText="1"/>
    </xf>
    <xf numFmtId="0" fontId="1" fillId="0" borderId="3" xfId="0" applyFont="1" applyFill="1" applyBorder="1" applyAlignment="1">
      <alignment horizontal="left"/>
    </xf>
    <xf numFmtId="0" fontId="4" fillId="0" borderId="1" xfId="0" applyFont="1" applyFill="1" applyBorder="1" applyAlignment="1">
      <alignment horizontal="left" wrapText="1"/>
    </xf>
    <xf numFmtId="0" fontId="4" fillId="0" borderId="1" xfId="0" applyFont="1" applyFill="1" applyBorder="1" applyAlignment="1">
      <alignment horizontal="left"/>
    </xf>
    <xf numFmtId="14" fontId="4" fillId="0" borderId="1" xfId="0" applyNumberFormat="1" applyFont="1" applyFill="1" applyBorder="1" applyAlignment="1">
      <alignment horizontal="left"/>
    </xf>
    <xf numFmtId="49" fontId="4" fillId="0" borderId="1" xfId="0" applyNumberFormat="1" applyFont="1" applyFill="1" applyBorder="1" applyAlignment="1">
      <alignment horizontal="left"/>
    </xf>
    <xf numFmtId="0" fontId="4" fillId="0" borderId="1" xfId="0" applyFont="1" applyBorder="1"/>
    <xf numFmtId="0" fontId="4" fillId="0" borderId="1" xfId="0" applyFont="1" applyFill="1" applyBorder="1" applyAlignment="1">
      <alignment wrapText="1"/>
    </xf>
    <xf numFmtId="0" fontId="3" fillId="0" borderId="0" xfId="0" applyFont="1" applyFill="1" applyAlignment="1">
      <alignment horizontal="left" wrapText="1"/>
    </xf>
    <xf numFmtId="0" fontId="3" fillId="0" borderId="3" xfId="0" applyFont="1" applyFill="1" applyBorder="1" applyAlignment="1">
      <alignment horizontal="left" wrapText="1"/>
    </xf>
  </cellXfs>
  <cellStyles count="2">
    <cellStyle name="Check Cell" xfId="1" builtinId="2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409575</xdr:colOff>
      <xdr:row>0</xdr:row>
      <xdr:rowOff>123825</xdr:rowOff>
    </xdr:from>
    <xdr:to>
      <xdr:col>2</xdr:col>
      <xdr:colOff>2239377</xdr:colOff>
      <xdr:row>4</xdr:row>
      <xdr:rowOff>95249</xdr:rowOff>
    </xdr:to>
    <xdr:pic>
      <xdr:nvPicPr>
        <xdr:cNvPr id="2" name="Picture 1" descr="Noridian Healthcare Solutions logo." title="Noridian Healthcare Solutions">
          <a:extLst>
            <a:ext uri="{FF2B5EF4-FFF2-40B4-BE49-F238E27FC236}">
              <a16:creationId xmlns:a16="http://schemas.microsoft.com/office/drawing/2014/main" id="{1A5B5F41-C6AD-4AA8-9238-D6872AE0A162}"/>
            </a:ext>
          </a:extLst>
        </xdr:cNvPr>
        <xdr:cNvPicPr>
          <a:picLocks noChangeAspect="1"/>
        </xdr:cNvPicPr>
      </xdr:nvPicPr>
      <xdr:blipFill>
        <a:blip xmlns:r="http://schemas.openxmlformats.org/officeDocument/2006/relationships" r:embed="rId1"/>
        <a:stretch>
          <a:fillRect/>
        </a:stretch>
      </xdr:blipFill>
      <xdr:spPr>
        <a:xfrm>
          <a:off x="6543675" y="123825"/>
          <a:ext cx="1829802" cy="6953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4"/>
  <sheetViews>
    <sheetView tabSelected="1" workbookViewId="0">
      <pane ySplit="6" topLeftCell="A13" activePane="bottomLeft" state="frozen"/>
      <selection pane="bottomLeft" activeCell="C11" sqref="C11"/>
    </sheetView>
  </sheetViews>
  <sheetFormatPr defaultRowHeight="12.75" x14ac:dyDescent="0.2"/>
  <cols>
    <col min="1" max="1" width="12.140625" style="1" customWidth="1"/>
    <col min="2" max="2" width="65.5703125" style="1" customWidth="1"/>
    <col min="3" max="3" width="39.85546875" style="1" customWidth="1"/>
    <col min="4" max="4" width="17.42578125" style="1" customWidth="1"/>
    <col min="5" max="5" width="20.42578125" style="1" bestFit="1" customWidth="1"/>
    <col min="6" max="6" width="14.140625" style="1" bestFit="1" customWidth="1"/>
    <col min="7" max="7" width="13.42578125" style="1" customWidth="1"/>
    <col min="8" max="8" width="121.42578125" style="1" customWidth="1"/>
    <col min="9" max="16384" width="9.140625" style="1"/>
  </cols>
  <sheetData>
    <row r="1" spans="1:8" ht="14.25" customHeight="1" x14ac:dyDescent="0.2">
      <c r="A1" s="11" t="s">
        <v>11</v>
      </c>
      <c r="B1" s="11"/>
      <c r="C1" s="11"/>
      <c r="D1" s="11"/>
      <c r="E1" s="11"/>
      <c r="F1" s="11"/>
      <c r="G1" s="11"/>
      <c r="H1" s="11"/>
    </row>
    <row r="2" spans="1:8" ht="14.25" customHeight="1" x14ac:dyDescent="0.2">
      <c r="A2" s="11"/>
      <c r="B2" s="11"/>
      <c r="C2" s="11"/>
      <c r="D2" s="11"/>
      <c r="E2" s="11"/>
      <c r="F2" s="11"/>
      <c r="G2" s="11"/>
      <c r="H2" s="11"/>
    </row>
    <row r="3" spans="1:8" ht="14.25" customHeight="1" x14ac:dyDescent="0.2">
      <c r="A3" s="11"/>
      <c r="B3" s="11"/>
      <c r="C3" s="11"/>
      <c r="D3" s="11"/>
      <c r="E3" s="11"/>
      <c r="F3" s="11"/>
      <c r="G3" s="11"/>
      <c r="H3" s="11"/>
    </row>
    <row r="4" spans="1:8" ht="14.25" customHeight="1" x14ac:dyDescent="0.2">
      <c r="A4" s="11"/>
      <c r="B4" s="11"/>
      <c r="C4" s="11"/>
      <c r="D4" s="11"/>
      <c r="E4" s="11"/>
      <c r="F4" s="11"/>
      <c r="G4" s="11"/>
      <c r="H4" s="11"/>
    </row>
    <row r="5" spans="1:8" ht="14.25" customHeight="1" x14ac:dyDescent="0.2">
      <c r="A5" s="12"/>
      <c r="B5" s="12"/>
      <c r="C5" s="12"/>
      <c r="D5" s="12"/>
      <c r="E5" s="12"/>
      <c r="F5" s="12"/>
      <c r="G5" s="12"/>
      <c r="H5" s="12"/>
    </row>
    <row r="6" spans="1:8" s="4" customFormat="1" x14ac:dyDescent="0.2">
      <c r="A6" s="2" t="s">
        <v>8</v>
      </c>
      <c r="B6" s="3" t="s">
        <v>5</v>
      </c>
      <c r="C6" s="3" t="s">
        <v>0</v>
      </c>
      <c r="D6" s="3" t="s">
        <v>6</v>
      </c>
      <c r="E6" s="3" t="s">
        <v>3</v>
      </c>
      <c r="F6" s="3" t="s">
        <v>4</v>
      </c>
      <c r="G6" s="3" t="s">
        <v>2</v>
      </c>
      <c r="H6" s="3" t="s">
        <v>1</v>
      </c>
    </row>
    <row r="7" spans="1:8" ht="13.5" customHeight="1" x14ac:dyDescent="0.2">
      <c r="A7" s="9" t="s">
        <v>9</v>
      </c>
      <c r="B7" s="10" t="str">
        <f>T("CURE ULTRA COUDE")</f>
        <v>CURE ULTRA COUDE</v>
      </c>
      <c r="C7" s="10" t="str">
        <f>T("CURE MEDICAL")</f>
        <v>CURE MEDICAL</v>
      </c>
      <c r="D7" s="10" t="str">
        <f>T("ULTRA M12C")</f>
        <v>ULTRA M12C</v>
      </c>
      <c r="E7" s="10" t="str">
        <f>T("A4352")</f>
        <v>A4352</v>
      </c>
      <c r="F7" s="10" t="str">
        <f t="shared" ref="F7:F19" si="0">T("12/22/2017")</f>
        <v>12/22/2017</v>
      </c>
      <c r="G7" s="10" t="str">
        <f t="shared" ref="G7:H26" si="1">T("")</f>
        <v/>
      </c>
      <c r="H7" s="10" t="str">
        <f t="shared" si="1"/>
        <v/>
      </c>
    </row>
    <row r="8" spans="1:8" ht="13.5" customHeight="1" x14ac:dyDescent="0.2">
      <c r="A8" s="9" t="s">
        <v>9</v>
      </c>
      <c r="B8" s="10" t="str">
        <f>T("CURE ULTRA COUDE")</f>
        <v>CURE ULTRA COUDE</v>
      </c>
      <c r="C8" s="10" t="str">
        <f>T("CURE MEDICAL")</f>
        <v>CURE MEDICAL</v>
      </c>
      <c r="D8" s="10" t="str">
        <f>T("ULTRA M14C")</f>
        <v>ULTRA M14C</v>
      </c>
      <c r="E8" s="10" t="str">
        <f>T("A4352")</f>
        <v>A4352</v>
      </c>
      <c r="F8" s="10" t="str">
        <f t="shared" si="0"/>
        <v>12/22/2017</v>
      </c>
      <c r="G8" s="10" t="str">
        <f t="shared" si="1"/>
        <v/>
      </c>
      <c r="H8" s="10" t="str">
        <f t="shared" si="1"/>
        <v/>
      </c>
    </row>
    <row r="9" spans="1:8" ht="13.5" customHeight="1" x14ac:dyDescent="0.2">
      <c r="A9" s="9" t="s">
        <v>9</v>
      </c>
      <c r="B9" s="10" t="str">
        <f>T("CURE ULTRA COUDE")</f>
        <v>CURE ULTRA COUDE</v>
      </c>
      <c r="C9" s="10" t="str">
        <f>T("CURE MEDICAL")</f>
        <v>CURE MEDICAL</v>
      </c>
      <c r="D9" s="10" t="str">
        <f>T("ULTRA M16C")</f>
        <v>ULTRA M16C</v>
      </c>
      <c r="E9" s="10" t="str">
        <f>T("A4352")</f>
        <v>A4352</v>
      </c>
      <c r="F9" s="10" t="str">
        <f t="shared" si="0"/>
        <v>12/22/2017</v>
      </c>
      <c r="G9" s="10" t="str">
        <f t="shared" si="1"/>
        <v/>
      </c>
      <c r="H9" s="10" t="str">
        <f t="shared" si="1"/>
        <v/>
      </c>
    </row>
    <row r="10" spans="1:8" ht="13.5" customHeight="1" x14ac:dyDescent="0.2">
      <c r="A10" s="9" t="s">
        <v>9</v>
      </c>
      <c r="B10" s="10" t="str">
        <f>T("CURE ULTRA COUDE")</f>
        <v>CURE ULTRA COUDE</v>
      </c>
      <c r="C10" s="10" t="str">
        <f>T("CURE MEDICAL")</f>
        <v>CURE MEDICAL</v>
      </c>
      <c r="D10" s="10" t="str">
        <f>T("ULTRA M18C")</f>
        <v>ULTRA M18C</v>
      </c>
      <c r="E10" s="10" t="str">
        <f>T("A4352")</f>
        <v>A4352</v>
      </c>
      <c r="F10" s="10" t="str">
        <f t="shared" si="0"/>
        <v>12/22/2017</v>
      </c>
      <c r="G10" s="10" t="str">
        <f t="shared" si="1"/>
        <v/>
      </c>
      <c r="H10" s="10" t="str">
        <f t="shared" si="1"/>
        <v/>
      </c>
    </row>
    <row r="11" spans="1:8" ht="13.5" customHeight="1" x14ac:dyDescent="0.2">
      <c r="A11" s="9" t="s">
        <v>9</v>
      </c>
      <c r="B11" s="10" t="str">
        <f>T("HYPAFIX GENTLE TOUCH DRESSING 4"" X 16.4' [10CM X 5M]")</f>
        <v>HYPAFIX GENTLE TOUCH DRESSING 4" X 16.4' [10CM X 5M]</v>
      </c>
      <c r="C11" s="10" t="str">
        <f t="shared" ref="C11:C19" si="2">T("BSN MEDICAL INC")</f>
        <v>BSN MEDICAL INC</v>
      </c>
      <c r="D11" s="10" t="str">
        <f>T("79966-02")</f>
        <v>79966-02</v>
      </c>
      <c r="E11" s="10" t="str">
        <f>T("A4450")</f>
        <v>A4450</v>
      </c>
      <c r="F11" s="10" t="str">
        <f t="shared" si="0"/>
        <v>12/22/2017</v>
      </c>
      <c r="G11" s="10" t="str">
        <f t="shared" si="1"/>
        <v/>
      </c>
      <c r="H11" s="10" t="str">
        <f t="shared" si="1"/>
        <v/>
      </c>
    </row>
    <row r="12" spans="1:8" ht="13.5" customHeight="1" x14ac:dyDescent="0.2">
      <c r="A12" s="9" t="s">
        <v>9</v>
      </c>
      <c r="B12" s="10" t="str">
        <f>T("HYPAFIX GENTLE TOUCH DRESSING 6"" X 16.4' [15CM X 5M]")</f>
        <v>HYPAFIX GENTLE TOUCH DRESSING 6" X 16.4' [15CM X 5M]</v>
      </c>
      <c r="C12" s="10" t="str">
        <f t="shared" si="2"/>
        <v>BSN MEDICAL INC</v>
      </c>
      <c r="D12" s="10" t="str">
        <f>T("79966-03")</f>
        <v>79966-03</v>
      </c>
      <c r="E12" s="10" t="str">
        <f>T("A4450")</f>
        <v>A4450</v>
      </c>
      <c r="F12" s="10" t="str">
        <f t="shared" si="0"/>
        <v>12/22/2017</v>
      </c>
      <c r="G12" s="10" t="str">
        <f t="shared" si="1"/>
        <v/>
      </c>
      <c r="H12" s="10" t="str">
        <f t="shared" si="1"/>
        <v/>
      </c>
    </row>
    <row r="13" spans="1:8" ht="13.5" customHeight="1" x14ac:dyDescent="0.2">
      <c r="A13" s="9" t="s">
        <v>9</v>
      </c>
      <c r="B13" s="10" t="str">
        <f>T("HYPAFIX GENTLE TOUCH DRESSING 4"" X 7' [10CM X 2M]")</f>
        <v>HYPAFIX GENTLE TOUCH DRESSING 4" X 7' [10CM X 2M]</v>
      </c>
      <c r="C13" s="10" t="str">
        <f t="shared" si="2"/>
        <v>BSN MEDICAL INC</v>
      </c>
      <c r="D13" s="10" t="str">
        <f>T("79966-04")</f>
        <v>79966-04</v>
      </c>
      <c r="E13" s="10" t="str">
        <f>T("A4450")</f>
        <v>A4450</v>
      </c>
      <c r="F13" s="10" t="str">
        <f t="shared" si="0"/>
        <v>12/22/2017</v>
      </c>
      <c r="G13" s="10" t="str">
        <f t="shared" si="1"/>
        <v/>
      </c>
      <c r="H13" s="10" t="str">
        <f t="shared" si="1"/>
        <v/>
      </c>
    </row>
    <row r="14" spans="1:8" ht="13.5" customHeight="1" x14ac:dyDescent="0.2">
      <c r="A14" s="9" t="s">
        <v>9</v>
      </c>
      <c r="B14" s="10" t="str">
        <f>T("HYPAFIX GENTLE TOUCH DRESSING 1"" X 8' [2.5CM X 2.5M]")</f>
        <v>HYPAFIX GENTLE TOUCH DRESSING 1" X 8' [2.5CM X 2.5M]</v>
      </c>
      <c r="C14" s="10" t="str">
        <f t="shared" si="2"/>
        <v>BSN MEDICAL INC</v>
      </c>
      <c r="D14" s="10" t="str">
        <f>T("79966-00")</f>
        <v>79966-00</v>
      </c>
      <c r="E14" s="10" t="str">
        <f>T("A4450")</f>
        <v>A4450</v>
      </c>
      <c r="F14" s="10" t="str">
        <f t="shared" si="0"/>
        <v>12/22/2017</v>
      </c>
      <c r="G14" s="10" t="str">
        <f t="shared" si="1"/>
        <v/>
      </c>
      <c r="H14" s="10" t="str">
        <f t="shared" si="1"/>
        <v/>
      </c>
    </row>
    <row r="15" spans="1:8" ht="13.5" customHeight="1" x14ac:dyDescent="0.2">
      <c r="A15" s="9" t="s">
        <v>9</v>
      </c>
      <c r="B15" s="10" t="str">
        <f>T("HYPAFIX GENTLE TOUCH DRESSING 2"" X 16.4' [5CM X 5M]")</f>
        <v>HYPAFIX GENTLE TOUCH DRESSING 2" X 16.4' [5CM X 5M]</v>
      </c>
      <c r="C15" s="10" t="str">
        <f t="shared" si="2"/>
        <v>BSN MEDICAL INC</v>
      </c>
      <c r="D15" s="10" t="str">
        <f>T("79966-01")</f>
        <v>79966-01</v>
      </c>
      <c r="E15" s="10" t="str">
        <f>T("A4450")</f>
        <v>A4450</v>
      </c>
      <c r="F15" s="10" t="str">
        <f t="shared" si="0"/>
        <v>12/22/2017</v>
      </c>
      <c r="G15" s="10" t="str">
        <f t="shared" si="1"/>
        <v/>
      </c>
      <c r="H15" s="10" t="str">
        <f t="shared" si="1"/>
        <v/>
      </c>
    </row>
    <row r="16" spans="1:8" ht="13.5" customHeight="1" x14ac:dyDescent="0.2">
      <c r="A16" s="9" t="s">
        <v>9</v>
      </c>
      <c r="B16" s="10" t="str">
        <f>T("HYPAFIX TRANSPARENT DRESSING 6"" X 33' [15CM X 10M]")</f>
        <v>HYPAFIX TRANSPARENT DRESSING 6" X 33' [15CM X 10M]</v>
      </c>
      <c r="C16" s="10" t="str">
        <f t="shared" si="2"/>
        <v>BSN MEDICAL INC</v>
      </c>
      <c r="D16" s="10" t="str">
        <f>T("72378-02")</f>
        <v>72378-02</v>
      </c>
      <c r="E16" s="10" t="str">
        <f>T("A4452")</f>
        <v>A4452</v>
      </c>
      <c r="F16" s="10" t="str">
        <f t="shared" si="0"/>
        <v>12/22/2017</v>
      </c>
      <c r="G16" s="10" t="str">
        <f t="shared" si="1"/>
        <v/>
      </c>
      <c r="H16" s="10" t="str">
        <f t="shared" si="1"/>
        <v/>
      </c>
    </row>
    <row r="17" spans="1:8" x14ac:dyDescent="0.2">
      <c r="A17" s="9" t="s">
        <v>9</v>
      </c>
      <c r="B17" s="10" t="str">
        <f>T("HYPAFIX TRANSPARENT DRESSING 4"" X 7' [10CM X 2M]")</f>
        <v>HYPAFIX TRANSPARENT DRESSING 4" X 7' [10CM X 2M]</v>
      </c>
      <c r="C17" s="10" t="str">
        <f t="shared" si="2"/>
        <v>BSN MEDICAL INC</v>
      </c>
      <c r="D17" s="10" t="str">
        <f>T("72378-03")</f>
        <v>72378-03</v>
      </c>
      <c r="E17" s="10" t="str">
        <f>T("A4452")</f>
        <v>A4452</v>
      </c>
      <c r="F17" s="10" t="str">
        <f t="shared" si="0"/>
        <v>12/22/2017</v>
      </c>
      <c r="G17" s="10" t="str">
        <f t="shared" si="1"/>
        <v/>
      </c>
      <c r="H17" s="10" t="str">
        <f t="shared" si="1"/>
        <v/>
      </c>
    </row>
    <row r="18" spans="1:8" ht="13.5" customHeight="1" x14ac:dyDescent="0.2">
      <c r="A18" s="9" t="s">
        <v>9</v>
      </c>
      <c r="B18" s="10" t="str">
        <f>T("HYPAFIX TRANSPARENT DRESSING 2"" X 33' [5CM X 10M]")</f>
        <v>HYPAFIX TRANSPARENT DRESSING 2" X 33' [5CM X 10M]</v>
      </c>
      <c r="C18" s="10" t="str">
        <f t="shared" si="2"/>
        <v>BSN MEDICAL INC</v>
      </c>
      <c r="D18" s="10" t="str">
        <f>T("72378-00")</f>
        <v>72378-00</v>
      </c>
      <c r="E18" s="10" t="str">
        <f>T("A4452")</f>
        <v>A4452</v>
      </c>
      <c r="F18" s="10" t="str">
        <f t="shared" si="0"/>
        <v>12/22/2017</v>
      </c>
      <c r="G18" s="10" t="str">
        <f t="shared" si="1"/>
        <v/>
      </c>
      <c r="H18" s="10" t="str">
        <f t="shared" si="1"/>
        <v/>
      </c>
    </row>
    <row r="19" spans="1:8" ht="13.5" customHeight="1" x14ac:dyDescent="0.2">
      <c r="A19" s="9" t="s">
        <v>9</v>
      </c>
      <c r="B19" s="10" t="str">
        <f>T("HYPAFIX TRANSPARENT DRESSING 4"" X 33' [10CM X 10M]")</f>
        <v>HYPAFIX TRANSPARENT DRESSING 4" X 33' [10CM X 10M]</v>
      </c>
      <c r="C19" s="10" t="str">
        <f t="shared" si="2"/>
        <v>BSN MEDICAL INC</v>
      </c>
      <c r="D19" s="10" t="str">
        <f>T("72378-01")</f>
        <v>72378-01</v>
      </c>
      <c r="E19" s="10" t="str">
        <f>T("A4452")</f>
        <v>A4452</v>
      </c>
      <c r="F19" s="10" t="str">
        <f t="shared" si="0"/>
        <v>12/22/2017</v>
      </c>
      <c r="G19" s="10" t="str">
        <f t="shared" si="1"/>
        <v/>
      </c>
      <c r="H19" s="10" t="str">
        <f t="shared" si="1"/>
        <v/>
      </c>
    </row>
    <row r="20" spans="1:8" ht="13.5" customHeight="1" x14ac:dyDescent="0.2">
      <c r="A20" s="9" t="s">
        <v>9</v>
      </c>
      <c r="B20" s="10" t="str">
        <f t="shared" ref="B20:B26" si="3">T("PL-34 BACK BINDER")</f>
        <v>PL-34 BACK BINDER</v>
      </c>
      <c r="C20" s="10" t="str">
        <f t="shared" ref="C20:C26" si="4">T("PROLINE BRACING LLC")</f>
        <v>PROLINE BRACING LLC</v>
      </c>
      <c r="D20" s="10" t="str">
        <f>T("PL-34 (101)")</f>
        <v>PL-34 (101)</v>
      </c>
      <c r="E20" s="10" t="str">
        <f t="shared" ref="E20:E26" si="5">T("A4467")</f>
        <v>A4467</v>
      </c>
      <c r="F20" s="10" t="str">
        <f t="shared" ref="F20:F26" si="6">T("12/21/2017")</f>
        <v>12/21/2017</v>
      </c>
      <c r="G20" s="10" t="str">
        <f t="shared" si="1"/>
        <v/>
      </c>
      <c r="H20" s="10" t="str">
        <f t="shared" si="1"/>
        <v/>
      </c>
    </row>
    <row r="21" spans="1:8" ht="13.5" customHeight="1" x14ac:dyDescent="0.2">
      <c r="A21" s="9" t="s">
        <v>9</v>
      </c>
      <c r="B21" s="10" t="str">
        <f t="shared" si="3"/>
        <v>PL-34 BACK BINDER</v>
      </c>
      <c r="C21" s="10" t="str">
        <f t="shared" si="4"/>
        <v>PROLINE BRACING LLC</v>
      </c>
      <c r="D21" s="10" t="str">
        <f>T("PL-34 (102)")</f>
        <v>PL-34 (102)</v>
      </c>
      <c r="E21" s="10" t="str">
        <f t="shared" si="5"/>
        <v>A4467</v>
      </c>
      <c r="F21" s="10" t="str">
        <f t="shared" si="6"/>
        <v>12/21/2017</v>
      </c>
      <c r="G21" s="10" t="str">
        <f t="shared" si="1"/>
        <v/>
      </c>
      <c r="H21" s="10" t="str">
        <f t="shared" si="1"/>
        <v/>
      </c>
    </row>
    <row r="22" spans="1:8" ht="13.5" customHeight="1" x14ac:dyDescent="0.2">
      <c r="A22" s="9" t="s">
        <v>9</v>
      </c>
      <c r="B22" s="10" t="str">
        <f t="shared" si="3"/>
        <v>PL-34 BACK BINDER</v>
      </c>
      <c r="C22" s="10" t="str">
        <f t="shared" si="4"/>
        <v>PROLINE BRACING LLC</v>
      </c>
      <c r="D22" s="10" t="str">
        <f>T("PL-34 (103)")</f>
        <v>PL-34 (103)</v>
      </c>
      <c r="E22" s="10" t="str">
        <f t="shared" si="5"/>
        <v>A4467</v>
      </c>
      <c r="F22" s="10" t="str">
        <f t="shared" si="6"/>
        <v>12/21/2017</v>
      </c>
      <c r="G22" s="10" t="str">
        <f t="shared" si="1"/>
        <v/>
      </c>
      <c r="H22" s="10" t="str">
        <f t="shared" si="1"/>
        <v/>
      </c>
    </row>
    <row r="23" spans="1:8" ht="13.5" customHeight="1" x14ac:dyDescent="0.2">
      <c r="A23" s="9" t="s">
        <v>9</v>
      </c>
      <c r="B23" s="10" t="str">
        <f t="shared" si="3"/>
        <v>PL-34 BACK BINDER</v>
      </c>
      <c r="C23" s="10" t="str">
        <f t="shared" si="4"/>
        <v>PROLINE BRACING LLC</v>
      </c>
      <c r="D23" s="10" t="str">
        <f>T("PL-34 (104)")</f>
        <v>PL-34 (104)</v>
      </c>
      <c r="E23" s="10" t="str">
        <f t="shared" si="5"/>
        <v>A4467</v>
      </c>
      <c r="F23" s="10" t="str">
        <f t="shared" si="6"/>
        <v>12/21/2017</v>
      </c>
      <c r="G23" s="10" t="str">
        <f t="shared" si="1"/>
        <v/>
      </c>
      <c r="H23" s="10" t="str">
        <f t="shared" si="1"/>
        <v/>
      </c>
    </row>
    <row r="24" spans="1:8" ht="13.5" customHeight="1" x14ac:dyDescent="0.2">
      <c r="A24" s="9" t="s">
        <v>9</v>
      </c>
      <c r="B24" s="10" t="str">
        <f t="shared" si="3"/>
        <v>PL-34 BACK BINDER</v>
      </c>
      <c r="C24" s="10" t="str">
        <f t="shared" si="4"/>
        <v>PROLINE BRACING LLC</v>
      </c>
      <c r="D24" s="10" t="str">
        <f>T("PL-34 (105)")</f>
        <v>PL-34 (105)</v>
      </c>
      <c r="E24" s="10" t="str">
        <f t="shared" si="5"/>
        <v>A4467</v>
      </c>
      <c r="F24" s="10" t="str">
        <f t="shared" si="6"/>
        <v>12/21/2017</v>
      </c>
      <c r="G24" s="10" t="str">
        <f t="shared" si="1"/>
        <v/>
      </c>
      <c r="H24" s="10" t="str">
        <f t="shared" si="1"/>
        <v/>
      </c>
    </row>
    <row r="25" spans="1:8" ht="13.5" customHeight="1" x14ac:dyDescent="0.2">
      <c r="A25" s="9" t="s">
        <v>9</v>
      </c>
      <c r="B25" s="10" t="str">
        <f t="shared" si="3"/>
        <v>PL-34 BACK BINDER</v>
      </c>
      <c r="C25" s="10" t="str">
        <f t="shared" si="4"/>
        <v>PROLINE BRACING LLC</v>
      </c>
      <c r="D25" s="10" t="str">
        <f>T("PL-34 (106)")</f>
        <v>PL-34 (106)</v>
      </c>
      <c r="E25" s="10" t="str">
        <f t="shared" si="5"/>
        <v>A4467</v>
      </c>
      <c r="F25" s="10" t="str">
        <f t="shared" si="6"/>
        <v>12/21/2017</v>
      </c>
      <c r="G25" s="10" t="str">
        <f t="shared" si="1"/>
        <v/>
      </c>
      <c r="H25" s="10" t="str">
        <f t="shared" si="1"/>
        <v/>
      </c>
    </row>
    <row r="26" spans="1:8" ht="13.5" customHeight="1" x14ac:dyDescent="0.2">
      <c r="A26" s="9" t="s">
        <v>9</v>
      </c>
      <c r="B26" s="10" t="str">
        <f t="shared" si="3"/>
        <v>PL-34 BACK BINDER</v>
      </c>
      <c r="C26" s="10" t="str">
        <f t="shared" si="4"/>
        <v>PROLINE BRACING LLC</v>
      </c>
      <c r="D26" s="10" t="str">
        <f>T("PL-34 (107)")</f>
        <v>PL-34 (107)</v>
      </c>
      <c r="E26" s="10" t="str">
        <f t="shared" si="5"/>
        <v>A4467</v>
      </c>
      <c r="F26" s="10" t="str">
        <f t="shared" si="6"/>
        <v>12/21/2017</v>
      </c>
      <c r="G26" s="10" t="str">
        <f t="shared" si="1"/>
        <v/>
      </c>
      <c r="H26" s="10" t="str">
        <f t="shared" si="1"/>
        <v/>
      </c>
    </row>
    <row r="27" spans="1:8" ht="13.5" customHeight="1" x14ac:dyDescent="0.2">
      <c r="A27" s="9" t="s">
        <v>10</v>
      </c>
      <c r="B27" s="6" t="s">
        <v>30</v>
      </c>
      <c r="C27" s="6" t="s">
        <v>31</v>
      </c>
      <c r="D27" s="8" t="s">
        <v>32</v>
      </c>
      <c r="E27" s="6" t="s">
        <v>12</v>
      </c>
      <c r="F27" s="7">
        <v>42954</v>
      </c>
      <c r="G27" s="7">
        <v>43094</v>
      </c>
      <c r="H27" s="6"/>
    </row>
    <row r="28" spans="1:8" ht="13.5" customHeight="1" x14ac:dyDescent="0.2">
      <c r="A28" s="9" t="s">
        <v>9</v>
      </c>
      <c r="B28" s="10" t="str">
        <f>T("HYDROCOLLOID EXTRA THIN DRESSING 4 X 4 IN")</f>
        <v>HYDROCOLLOID EXTRA THIN DRESSING 4 X 4 IN</v>
      </c>
      <c r="C28" s="10" t="str">
        <f>T("HEALQU LLC")</f>
        <v>HEALQU LLC</v>
      </c>
      <c r="D28" s="10" t="str">
        <f>T("9020804")</f>
        <v>9020804</v>
      </c>
      <c r="E28" s="10" t="str">
        <f t="shared" ref="E28:E34" si="7">T("A4649")</f>
        <v>A4649</v>
      </c>
      <c r="F28" s="10" t="str">
        <f t="shared" ref="F28:F34" si="8">T("12/28/2017")</f>
        <v>12/28/2017</v>
      </c>
      <c r="G28" s="10" t="str">
        <f t="shared" ref="G28:H45" si="9">T("")</f>
        <v/>
      </c>
      <c r="H28" s="10" t="str">
        <f t="shared" si="9"/>
        <v/>
      </c>
    </row>
    <row r="29" spans="1:8" ht="13.5" customHeight="1" x14ac:dyDescent="0.2">
      <c r="A29" s="9" t="s">
        <v>9</v>
      </c>
      <c r="B29" s="10" t="str">
        <f>T("ACTISORB SILVER 220 ANITMICROBIAL BINDING DRESSING STERILE 2.6"" X 3.8""")</f>
        <v>ACTISORB SILVER 220 ANITMICROBIAL BINDING DRESSING STERILE 2.6" X 3.8"</v>
      </c>
      <c r="C29" s="10" t="str">
        <f>T("KINETIC CONCEPTS INC")</f>
        <v>KINETIC CONCEPTS INC</v>
      </c>
      <c r="D29" s="10" t="str">
        <f>T("650220")</f>
        <v>650220</v>
      </c>
      <c r="E29" s="10" t="str">
        <f t="shared" si="7"/>
        <v>A4649</v>
      </c>
      <c r="F29" s="10" t="str">
        <f t="shared" si="8"/>
        <v>12/28/2017</v>
      </c>
      <c r="G29" s="10" t="str">
        <f t="shared" si="9"/>
        <v/>
      </c>
      <c r="H29" s="10" t="str">
        <f t="shared" si="9"/>
        <v/>
      </c>
    </row>
    <row r="30" spans="1:8" ht="13.5" customHeight="1" x14ac:dyDescent="0.2">
      <c r="A30" s="9" t="s">
        <v>9</v>
      </c>
      <c r="B30" s="10" t="str">
        <f>T("ACTISORB SILVER 220 ANTIMICROBIAL BINDING DRESSING STERILE 4.2"" X 7.6""")</f>
        <v>ACTISORB SILVER 220 ANTIMICROBIAL BINDING DRESSING STERILE 4.2" X 7.6"</v>
      </c>
      <c r="C30" s="10" t="str">
        <f>T("KINETIC CONCEPTS INC")</f>
        <v>KINETIC CONCEPTS INC</v>
      </c>
      <c r="D30" s="10" t="str">
        <f>T("190220")</f>
        <v>190220</v>
      </c>
      <c r="E30" s="10" t="str">
        <f t="shared" si="7"/>
        <v>A4649</v>
      </c>
      <c r="F30" s="10" t="str">
        <f t="shared" si="8"/>
        <v>12/28/2017</v>
      </c>
      <c r="G30" s="10" t="str">
        <f t="shared" si="9"/>
        <v/>
      </c>
      <c r="H30" s="10" t="str">
        <f t="shared" si="9"/>
        <v/>
      </c>
    </row>
    <row r="31" spans="1:8" ht="13.5" customHeight="1" x14ac:dyDescent="0.2">
      <c r="A31" s="9" t="s">
        <v>9</v>
      </c>
      <c r="B31" s="10" t="str">
        <f>T("ACTISORB SILVER 220 ANTIMICROBIAL BINDING DRESSING STERILE 4.2"" X 4.2""")</f>
        <v>ACTISORB SILVER 220 ANTIMICROBIAL BINDING DRESSING STERILE 4.2" X 4.2"</v>
      </c>
      <c r="C31" s="10" t="str">
        <f>T("KINETIC CONCEPTS INC")</f>
        <v>KINETIC CONCEPTS INC</v>
      </c>
      <c r="D31" s="10" t="str">
        <f>T("105220")</f>
        <v>105220</v>
      </c>
      <c r="E31" s="10" t="str">
        <f t="shared" si="7"/>
        <v>A4649</v>
      </c>
      <c r="F31" s="10" t="str">
        <f t="shared" si="8"/>
        <v>12/28/2017</v>
      </c>
      <c r="G31" s="10" t="str">
        <f t="shared" si="9"/>
        <v/>
      </c>
      <c r="H31" s="10" t="str">
        <f t="shared" si="9"/>
        <v/>
      </c>
    </row>
    <row r="32" spans="1:8" ht="13.5" customHeight="1" x14ac:dyDescent="0.2">
      <c r="A32" s="9" t="s">
        <v>9</v>
      </c>
      <c r="B32" s="10" t="str">
        <f>T("HYDROCOLLOID WOUND DRESSING 2 IN X 2 IN")</f>
        <v>HYDROCOLLOID WOUND DRESSING 2 IN X 2 IN</v>
      </c>
      <c r="C32" s="10" t="str">
        <f>T("HEALQU LLC")</f>
        <v>HEALQU LLC</v>
      </c>
      <c r="D32" s="10" t="str">
        <f>T("9020801")</f>
        <v>9020801</v>
      </c>
      <c r="E32" s="10" t="str">
        <f t="shared" si="7"/>
        <v>A4649</v>
      </c>
      <c r="F32" s="10" t="str">
        <f t="shared" si="8"/>
        <v>12/28/2017</v>
      </c>
      <c r="G32" s="10" t="str">
        <f t="shared" si="9"/>
        <v/>
      </c>
      <c r="H32" s="10" t="str">
        <f t="shared" si="9"/>
        <v/>
      </c>
    </row>
    <row r="33" spans="1:8" ht="13.5" customHeight="1" x14ac:dyDescent="0.2">
      <c r="A33" s="9" t="s">
        <v>9</v>
      </c>
      <c r="B33" s="10" t="str">
        <f>T("HYDROCOLLOID WOUND DRESSING 4 IN X 4 IN")</f>
        <v>HYDROCOLLOID WOUND DRESSING 4 IN X 4 IN</v>
      </c>
      <c r="C33" s="10" t="str">
        <f>T("HEALQU LLC")</f>
        <v>HEALQU LLC</v>
      </c>
      <c r="D33" s="10" t="str">
        <f>T("9020802")</f>
        <v>9020802</v>
      </c>
      <c r="E33" s="10" t="str">
        <f t="shared" si="7"/>
        <v>A4649</v>
      </c>
      <c r="F33" s="10" t="str">
        <f t="shared" si="8"/>
        <v>12/28/2017</v>
      </c>
      <c r="G33" s="10" t="str">
        <f t="shared" si="9"/>
        <v/>
      </c>
      <c r="H33" s="10" t="str">
        <f t="shared" si="9"/>
        <v/>
      </c>
    </row>
    <row r="34" spans="1:8" ht="13.5" customHeight="1" x14ac:dyDescent="0.2">
      <c r="A34" s="9" t="s">
        <v>9</v>
      </c>
      <c r="B34" s="10" t="str">
        <f>T("HYDROCOLLOID FOAM DRESSING 4 IN X 4 IN")</f>
        <v>HYDROCOLLOID FOAM DRESSING 4 IN X 4 IN</v>
      </c>
      <c r="C34" s="10" t="str">
        <f>T("HEALQU LLC")</f>
        <v>HEALQU LLC</v>
      </c>
      <c r="D34" s="10" t="str">
        <f>T("9020805")</f>
        <v>9020805</v>
      </c>
      <c r="E34" s="10" t="str">
        <f t="shared" si="7"/>
        <v>A4649</v>
      </c>
      <c r="F34" s="10" t="str">
        <f t="shared" si="8"/>
        <v>12/28/2017</v>
      </c>
      <c r="G34" s="10" t="str">
        <f t="shared" si="9"/>
        <v/>
      </c>
      <c r="H34" s="10" t="str">
        <f t="shared" si="9"/>
        <v/>
      </c>
    </row>
    <row r="35" spans="1:8" ht="13.5" customHeight="1" x14ac:dyDescent="0.2">
      <c r="A35" s="9" t="s">
        <v>9</v>
      </c>
      <c r="B35" s="10" t="str">
        <f>T("MEDIGUARD ES NITRILE EXAM GLOVE")</f>
        <v>MEDIGUARD ES NITRILE EXAM GLOVE</v>
      </c>
      <c r="C35" s="10" t="str">
        <f t="shared" ref="C35:C44" si="10">T("MEDLINE INDUSTRIES INC")</f>
        <v>MEDLINE INDUSTRIES INC</v>
      </c>
      <c r="D35" s="10" t="str">
        <f>T("MG100XS")</f>
        <v>MG100XS</v>
      </c>
      <c r="E35" s="10" t="str">
        <f t="shared" ref="E35:E44" si="11">T("A4927")</f>
        <v>A4927</v>
      </c>
      <c r="F35" s="10" t="str">
        <f>T("12/21/2017")</f>
        <v>12/21/2017</v>
      </c>
      <c r="G35" s="10" t="str">
        <f t="shared" si="9"/>
        <v/>
      </c>
      <c r="H35" s="10" t="str">
        <f t="shared" si="9"/>
        <v/>
      </c>
    </row>
    <row r="36" spans="1:8" ht="13.5" customHeight="1" x14ac:dyDescent="0.2">
      <c r="A36" s="9" t="s">
        <v>9</v>
      </c>
      <c r="B36" s="10" t="str">
        <f>T("MEDIGUARD ES NITRILE EXAM GLOVE")</f>
        <v>MEDIGUARD ES NITRILE EXAM GLOVE</v>
      </c>
      <c r="C36" s="10" t="str">
        <f t="shared" si="10"/>
        <v>MEDLINE INDUSTRIES INC</v>
      </c>
      <c r="D36" s="10" t="str">
        <f>T("MG100S")</f>
        <v>MG100S</v>
      </c>
      <c r="E36" s="10" t="str">
        <f t="shared" si="11"/>
        <v>A4927</v>
      </c>
      <c r="F36" s="10" t="str">
        <f>T("12/21/2017")</f>
        <v>12/21/2017</v>
      </c>
      <c r="G36" s="10" t="str">
        <f t="shared" si="9"/>
        <v/>
      </c>
      <c r="H36" s="10" t="str">
        <f t="shared" si="9"/>
        <v/>
      </c>
    </row>
    <row r="37" spans="1:8" ht="13.5" customHeight="1" x14ac:dyDescent="0.2">
      <c r="A37" s="9" t="s">
        <v>9</v>
      </c>
      <c r="B37" s="10" t="str">
        <f>T("MEDIGUARD ES NITRILE EXAM GLOVE")</f>
        <v>MEDIGUARD ES NITRILE EXAM GLOVE</v>
      </c>
      <c r="C37" s="10" t="str">
        <f t="shared" si="10"/>
        <v>MEDLINE INDUSTRIES INC</v>
      </c>
      <c r="D37" s="10" t="str">
        <f>T("MG100M")</f>
        <v>MG100M</v>
      </c>
      <c r="E37" s="10" t="str">
        <f t="shared" si="11"/>
        <v>A4927</v>
      </c>
      <c r="F37" s="10" t="str">
        <f>T("12/21/2017")</f>
        <v>12/21/2017</v>
      </c>
      <c r="G37" s="10" t="str">
        <f t="shared" si="9"/>
        <v/>
      </c>
      <c r="H37" s="10" t="str">
        <f t="shared" si="9"/>
        <v/>
      </c>
    </row>
    <row r="38" spans="1:8" ht="13.5" customHeight="1" x14ac:dyDescent="0.2">
      <c r="A38" s="9" t="s">
        <v>9</v>
      </c>
      <c r="B38" s="10" t="str">
        <f>T("MEDIGUARD ES NITRILE EXAM GLOVE")</f>
        <v>MEDIGUARD ES NITRILE EXAM GLOVE</v>
      </c>
      <c r="C38" s="10" t="str">
        <f t="shared" si="10"/>
        <v>MEDLINE INDUSTRIES INC</v>
      </c>
      <c r="D38" s="10" t="str">
        <f>T("MG100L")</f>
        <v>MG100L</v>
      </c>
      <c r="E38" s="10" t="str">
        <f t="shared" si="11"/>
        <v>A4927</v>
      </c>
      <c r="F38" s="10" t="str">
        <f>T("12/21/2017")</f>
        <v>12/21/2017</v>
      </c>
      <c r="G38" s="10" t="str">
        <f t="shared" si="9"/>
        <v/>
      </c>
      <c r="H38" s="10" t="str">
        <f t="shared" si="9"/>
        <v/>
      </c>
    </row>
    <row r="39" spans="1:8" ht="13.5" customHeight="1" x14ac:dyDescent="0.2">
      <c r="A39" s="9" t="s">
        <v>9</v>
      </c>
      <c r="B39" s="10" t="str">
        <f>T("MEDIGUARD ES NITRILE EXAM GLOVE")</f>
        <v>MEDIGUARD ES NITRILE EXAM GLOVE</v>
      </c>
      <c r="C39" s="10" t="str">
        <f t="shared" si="10"/>
        <v>MEDLINE INDUSTRIES INC</v>
      </c>
      <c r="D39" s="10" t="str">
        <f>T("MG100XL")</f>
        <v>MG100XL</v>
      </c>
      <c r="E39" s="10" t="str">
        <f t="shared" si="11"/>
        <v>A4927</v>
      </c>
      <c r="F39" s="10" t="str">
        <f>T("12/21/2017")</f>
        <v>12/21/2017</v>
      </c>
      <c r="G39" s="10" t="str">
        <f t="shared" si="9"/>
        <v/>
      </c>
      <c r="H39" s="10" t="str">
        <f t="shared" si="9"/>
        <v/>
      </c>
    </row>
    <row r="40" spans="1:8" ht="13.5" customHeight="1" x14ac:dyDescent="0.2">
      <c r="A40" s="9" t="s">
        <v>9</v>
      </c>
      <c r="B40" s="10" t="str">
        <f>T("FITGUARD TOUCH NITRILE EXAM GLOVE")</f>
        <v>FITGUARD TOUCH NITRILE EXAM GLOVE</v>
      </c>
      <c r="C40" s="10" t="str">
        <f t="shared" si="10"/>
        <v>MEDLINE INDUSTRIES INC</v>
      </c>
      <c r="D40" s="10" t="str">
        <f>T("FG100M")</f>
        <v>FG100M</v>
      </c>
      <c r="E40" s="10" t="str">
        <f t="shared" si="11"/>
        <v>A4927</v>
      </c>
      <c r="F40" s="10" t="str">
        <f>T("12/27/2017")</f>
        <v>12/27/2017</v>
      </c>
      <c r="G40" s="10" t="str">
        <f t="shared" si="9"/>
        <v/>
      </c>
      <c r="H40" s="10" t="str">
        <f t="shared" si="9"/>
        <v/>
      </c>
    </row>
    <row r="41" spans="1:8" ht="13.5" customHeight="1" x14ac:dyDescent="0.2">
      <c r="A41" s="9" t="s">
        <v>9</v>
      </c>
      <c r="B41" s="10" t="str">
        <f>T("FITGUARD TOUCH NITRILE EXAM GLOVE")</f>
        <v>FITGUARD TOUCH NITRILE EXAM GLOVE</v>
      </c>
      <c r="C41" s="10" t="str">
        <f t="shared" si="10"/>
        <v>MEDLINE INDUSTRIES INC</v>
      </c>
      <c r="D41" s="10" t="str">
        <f>T("FG100L")</f>
        <v>FG100L</v>
      </c>
      <c r="E41" s="10" t="str">
        <f t="shared" si="11"/>
        <v>A4927</v>
      </c>
      <c r="F41" s="10" t="str">
        <f>T("12/27/2017")</f>
        <v>12/27/2017</v>
      </c>
      <c r="G41" s="10" t="str">
        <f t="shared" si="9"/>
        <v/>
      </c>
      <c r="H41" s="10" t="str">
        <f t="shared" si="9"/>
        <v/>
      </c>
    </row>
    <row r="42" spans="1:8" ht="13.5" customHeight="1" x14ac:dyDescent="0.2">
      <c r="A42" s="9" t="s">
        <v>9</v>
      </c>
      <c r="B42" s="10" t="str">
        <f>T("FITGUARD TOUCH NITRILE EXAM GLOVE")</f>
        <v>FITGUARD TOUCH NITRILE EXAM GLOVE</v>
      </c>
      <c r="C42" s="10" t="str">
        <f t="shared" si="10"/>
        <v>MEDLINE INDUSTRIES INC</v>
      </c>
      <c r="D42" s="10" t="str">
        <f>T("FG100XL")</f>
        <v>FG100XL</v>
      </c>
      <c r="E42" s="10" t="str">
        <f t="shared" si="11"/>
        <v>A4927</v>
      </c>
      <c r="F42" s="10" t="str">
        <f>T("12/27/2017")</f>
        <v>12/27/2017</v>
      </c>
      <c r="G42" s="10" t="str">
        <f t="shared" si="9"/>
        <v/>
      </c>
      <c r="H42" s="10" t="str">
        <f t="shared" si="9"/>
        <v/>
      </c>
    </row>
    <row r="43" spans="1:8" ht="13.5" customHeight="1" x14ac:dyDescent="0.2">
      <c r="A43" s="9" t="s">
        <v>9</v>
      </c>
      <c r="B43" s="10" t="str">
        <f>T("FITGUARD TOUCH NITRILE EXAM GLOVE")</f>
        <v>FITGUARD TOUCH NITRILE EXAM GLOVE</v>
      </c>
      <c r="C43" s="10" t="str">
        <f t="shared" si="10"/>
        <v>MEDLINE INDUSTRIES INC</v>
      </c>
      <c r="D43" s="10" t="str">
        <f>T("FG100XS")</f>
        <v>FG100XS</v>
      </c>
      <c r="E43" s="10" t="str">
        <f t="shared" si="11"/>
        <v>A4927</v>
      </c>
      <c r="F43" s="10" t="str">
        <f>T("12/27/2017")</f>
        <v>12/27/2017</v>
      </c>
      <c r="G43" s="10" t="str">
        <f t="shared" si="9"/>
        <v/>
      </c>
      <c r="H43" s="10" t="str">
        <f t="shared" si="9"/>
        <v/>
      </c>
    </row>
    <row r="44" spans="1:8" ht="13.5" customHeight="1" x14ac:dyDescent="0.2">
      <c r="A44" s="9" t="s">
        <v>9</v>
      </c>
      <c r="B44" s="10" t="str">
        <f>T("FITGUARD TOUCH NITRILE EXAM GLOVE")</f>
        <v>FITGUARD TOUCH NITRILE EXAM GLOVE</v>
      </c>
      <c r="C44" s="10" t="str">
        <f t="shared" si="10"/>
        <v>MEDLINE INDUSTRIES INC</v>
      </c>
      <c r="D44" s="10" t="str">
        <f>T("FG100S")</f>
        <v>FG100S</v>
      </c>
      <c r="E44" s="10" t="str">
        <f t="shared" si="11"/>
        <v>A4927</v>
      </c>
      <c r="F44" s="10" t="str">
        <f>T("12/27/2017")</f>
        <v>12/27/2017</v>
      </c>
      <c r="G44" s="10" t="str">
        <f t="shared" si="9"/>
        <v/>
      </c>
      <c r="H44" s="10" t="str">
        <f t="shared" si="9"/>
        <v/>
      </c>
    </row>
    <row r="45" spans="1:8" ht="13.5" customHeight="1" x14ac:dyDescent="0.2">
      <c r="A45" s="9" t="s">
        <v>9</v>
      </c>
      <c r="B45" s="10" t="str">
        <f>T("880V7")</f>
        <v>880V7</v>
      </c>
      <c r="C45" s="10" t="str">
        <f>T("NEW BALANCE ATHLETICS INC")</f>
        <v>NEW BALANCE ATHLETICS INC</v>
      </c>
      <c r="D45" s="10" t="str">
        <f>T("M880GY7")</f>
        <v>M880GY7</v>
      </c>
      <c r="E45" s="10" t="str">
        <f>T("A5500")</f>
        <v>A5500</v>
      </c>
      <c r="F45" s="10" t="str">
        <f>T("12/04/2017")</f>
        <v>12/04/2017</v>
      </c>
      <c r="G45" s="10" t="str">
        <f t="shared" si="9"/>
        <v/>
      </c>
      <c r="H45" s="10" t="str">
        <f t="shared" si="9"/>
        <v/>
      </c>
    </row>
    <row r="46" spans="1:8" ht="13.5" customHeight="1" x14ac:dyDescent="0.2">
      <c r="A46" s="9" t="s">
        <v>9</v>
      </c>
      <c r="B46" s="10" t="str">
        <f>T("880V7")</f>
        <v>880V7</v>
      </c>
      <c r="C46" s="10" t="str">
        <f>T("NEW BALANCE ATHLETICS INC")</f>
        <v>NEW BALANCE ATHLETICS INC</v>
      </c>
      <c r="D46" s="10" t="str">
        <f>T("W880GB7")</f>
        <v>W880GB7</v>
      </c>
      <c r="E46" s="10" t="str">
        <f>T("A5500")</f>
        <v>A5500</v>
      </c>
      <c r="F46" s="10" t="str">
        <f>T("12/04/2017")</f>
        <v>12/04/2017</v>
      </c>
      <c r="G46" s="10" t="str">
        <f>T("")</f>
        <v/>
      </c>
      <c r="H46" s="10"/>
    </row>
    <row r="47" spans="1:8" ht="13.5" customHeight="1" x14ac:dyDescent="0.2">
      <c r="A47" s="9" t="s">
        <v>10</v>
      </c>
      <c r="B47" s="5" t="str">
        <f>T("880V7")</f>
        <v>880V7</v>
      </c>
      <c r="C47" s="5" t="str">
        <f>T("NEW BALANCE ATHLETICS INC")</f>
        <v>NEW BALANCE ATHLETICS INC</v>
      </c>
      <c r="D47" s="5" t="str">
        <f>T("M88OGY7")</f>
        <v>M88OGY7</v>
      </c>
      <c r="E47" s="5" t="str">
        <f>T("A5500")</f>
        <v>A5500</v>
      </c>
      <c r="F47" s="5" t="str">
        <f>T("10/17/2016")</f>
        <v>10/17/2016</v>
      </c>
      <c r="G47" s="5" t="str">
        <f>T("12/03/2017")</f>
        <v>12/03/2017</v>
      </c>
      <c r="H47" s="5" t="str">
        <f t="shared" ref="H47:H54" si="12">T("")</f>
        <v/>
      </c>
    </row>
    <row r="48" spans="1:8" ht="13.5" customHeight="1" x14ac:dyDescent="0.2">
      <c r="A48" s="9" t="s">
        <v>10</v>
      </c>
      <c r="B48" s="5" t="str">
        <f>T("880V7")</f>
        <v>880V7</v>
      </c>
      <c r="C48" s="5" t="str">
        <f>T("NEW BALANCE ATHLETICS INC")</f>
        <v>NEW BALANCE ATHLETICS INC</v>
      </c>
      <c r="D48" s="5" t="str">
        <f>T("W88OGB7")</f>
        <v>W88OGB7</v>
      </c>
      <c r="E48" s="5" t="str">
        <f>T("A5500")</f>
        <v>A5500</v>
      </c>
      <c r="F48" s="5" t="str">
        <f>T("10/17/2016")</f>
        <v>10/17/2016</v>
      </c>
      <c r="G48" s="5" t="str">
        <f>T("12/03/2017")</f>
        <v>12/03/2017</v>
      </c>
      <c r="H48" s="5" t="str">
        <f t="shared" si="12"/>
        <v/>
      </c>
    </row>
    <row r="49" spans="1:8" ht="13.5" customHeight="1" x14ac:dyDescent="0.2">
      <c r="A49" s="9" t="s">
        <v>9</v>
      </c>
      <c r="B49" s="10" t="str">
        <f>T("LORETA")</f>
        <v>LORETA</v>
      </c>
      <c r="C49" s="10" t="str">
        <f>T("B &amp; S PARTNERS INC (DBA PILGRIM SHOES)")</f>
        <v>B &amp; S PARTNERS INC (DBA PILGRIM SHOES)</v>
      </c>
      <c r="D49" s="10" t="str">
        <f>T("P3166")</f>
        <v>P3166</v>
      </c>
      <c r="E49" s="10" t="str">
        <f>T("A5500 OR L3217")</f>
        <v>A5500 OR L3217</v>
      </c>
      <c r="F49" s="10" t="str">
        <f>T("12/21/2017")</f>
        <v>12/21/2017</v>
      </c>
      <c r="G49" s="10" t="str">
        <f t="shared" ref="G49:G54" si="13">T("")</f>
        <v/>
      </c>
      <c r="H49" s="10" t="str">
        <f t="shared" si="12"/>
        <v/>
      </c>
    </row>
    <row r="50" spans="1:8" ht="13.5" customHeight="1" x14ac:dyDescent="0.2">
      <c r="A50" s="9" t="s">
        <v>9</v>
      </c>
      <c r="B50" s="10" t="str">
        <f>T("NARZIO-TOP BLACK")</f>
        <v>NARZIO-TOP BLACK</v>
      </c>
      <c r="C50" s="10" t="str">
        <f>T("NARZIO AMERICA LLC")</f>
        <v>NARZIO AMERICA LLC</v>
      </c>
      <c r="D50" s="10" t="str">
        <f>T("")</f>
        <v/>
      </c>
      <c r="E50" s="10" t="str">
        <f>T("A5500 OR L3217 OR L3222")</f>
        <v>A5500 OR L3217 OR L3222</v>
      </c>
      <c r="F50" s="10" t="str">
        <f>T("12/29/2017")</f>
        <v>12/29/2017</v>
      </c>
      <c r="G50" s="10" t="str">
        <f t="shared" si="13"/>
        <v/>
      </c>
      <c r="H50" s="10" t="str">
        <f t="shared" si="12"/>
        <v/>
      </c>
    </row>
    <row r="51" spans="1:8" ht="13.5" customHeight="1" x14ac:dyDescent="0.2">
      <c r="A51" s="9" t="s">
        <v>9</v>
      </c>
      <c r="B51" s="10" t="str">
        <f>T("NARZIO-TOP WHITE")</f>
        <v>NARZIO-TOP WHITE</v>
      </c>
      <c r="C51" s="10" t="str">
        <f>T("NARZIO AMERICA LLC")</f>
        <v>NARZIO AMERICA LLC</v>
      </c>
      <c r="D51" s="10" t="str">
        <f>T("")</f>
        <v/>
      </c>
      <c r="E51" s="10" t="str">
        <f>T("A5500 OR L3217 OR L3222")</f>
        <v>A5500 OR L3217 OR L3222</v>
      </c>
      <c r="F51" s="10" t="str">
        <f>T("12/29/2017")</f>
        <v>12/29/2017</v>
      </c>
      <c r="G51" s="10" t="str">
        <f t="shared" si="13"/>
        <v/>
      </c>
      <c r="H51" s="10" t="str">
        <f t="shared" si="12"/>
        <v/>
      </c>
    </row>
    <row r="52" spans="1:8" ht="13.5" customHeight="1" x14ac:dyDescent="0.2">
      <c r="A52" s="9" t="s">
        <v>9</v>
      </c>
      <c r="B52" s="10" t="str">
        <f>T("NARZIO-TOP WINE")</f>
        <v>NARZIO-TOP WINE</v>
      </c>
      <c r="C52" s="10" t="str">
        <f>T("NARZIO AMERICA LLC")</f>
        <v>NARZIO AMERICA LLC</v>
      </c>
      <c r="D52" s="10" t="str">
        <f>T("")</f>
        <v/>
      </c>
      <c r="E52" s="10" t="str">
        <f>T("A5500 OR L3217 OR L3222")</f>
        <v>A5500 OR L3217 OR L3222</v>
      </c>
      <c r="F52" s="10" t="str">
        <f>T("12/29/2017")</f>
        <v>12/29/2017</v>
      </c>
      <c r="G52" s="10" t="str">
        <f t="shared" si="13"/>
        <v/>
      </c>
      <c r="H52" s="10" t="str">
        <f t="shared" si="12"/>
        <v/>
      </c>
    </row>
    <row r="53" spans="1:8" ht="13.5" customHeight="1" x14ac:dyDescent="0.2">
      <c r="A53" s="9" t="s">
        <v>9</v>
      </c>
      <c r="B53" s="10" t="str">
        <f>T("CUSTOM EVA MOLED DIABETIC INSERT")</f>
        <v>CUSTOM EVA MOLED DIABETIC INSERT</v>
      </c>
      <c r="C53" s="10" t="str">
        <f>T("OREGON PEDORTHIC SERVICES INC (DBA ARCH FITTERS)")</f>
        <v>OREGON PEDORTHIC SERVICES INC (DBA ARCH FITTERS)</v>
      </c>
      <c r="D53" s="10" t="str">
        <f>T("CM901")</f>
        <v>CM901</v>
      </c>
      <c r="E53" s="10" t="str">
        <f>T("A5513")</f>
        <v>A5513</v>
      </c>
      <c r="F53" s="10" t="str">
        <f>T("12/22/2017")</f>
        <v>12/22/2017</v>
      </c>
      <c r="G53" s="10" t="str">
        <f t="shared" si="13"/>
        <v/>
      </c>
      <c r="H53" s="10" t="str">
        <f t="shared" si="12"/>
        <v/>
      </c>
    </row>
    <row r="54" spans="1:8" ht="13.5" customHeight="1" x14ac:dyDescent="0.2">
      <c r="A54" s="9" t="s">
        <v>9</v>
      </c>
      <c r="B54" s="10" t="str">
        <f>T("FIBRACOL PLUS COLLAGEN WOUND DRESSING WITH ALGINATE 2"" X 2""")</f>
        <v>FIBRACOL PLUS COLLAGEN WOUND DRESSING WITH ALGINATE 2" X 2"</v>
      </c>
      <c r="C54" s="10" t="str">
        <f>T("KINETIC CONCEPTS INC")</f>
        <v>KINETIC CONCEPTS INC</v>
      </c>
      <c r="D54" s="10" t="str">
        <f>T("2981")</f>
        <v>2981</v>
      </c>
      <c r="E54" s="10" t="str">
        <f>T("A6021")</f>
        <v>A6021</v>
      </c>
      <c r="F54" s="10" t="str">
        <f>T("12/05/2017")</f>
        <v>12/05/2017</v>
      </c>
      <c r="G54" s="10" t="str">
        <f t="shared" si="13"/>
        <v/>
      </c>
      <c r="H54" s="10" t="str">
        <f t="shared" si="12"/>
        <v/>
      </c>
    </row>
    <row r="55" spans="1:8" ht="13.5" customHeight="1" x14ac:dyDescent="0.2">
      <c r="A55" s="9" t="s">
        <v>10</v>
      </c>
      <c r="B55" s="6" t="s">
        <v>13</v>
      </c>
      <c r="C55" s="6" t="s">
        <v>14</v>
      </c>
      <c r="D55" s="6"/>
      <c r="E55" s="6" t="s">
        <v>15</v>
      </c>
      <c r="F55" s="7">
        <v>36922</v>
      </c>
      <c r="G55" s="7">
        <v>43073</v>
      </c>
      <c r="H55" s="6"/>
    </row>
    <row r="56" spans="1:8" ht="13.5" customHeight="1" x14ac:dyDescent="0.2">
      <c r="A56" s="9" t="s">
        <v>9</v>
      </c>
      <c r="B56" s="10" t="str">
        <f>T("FIBRACOL PLUS COLLAGEN WOUND DRESSING WITH ALGINATE 4"" X 4 3/8""")</f>
        <v>FIBRACOL PLUS COLLAGEN WOUND DRESSING WITH ALGINATE 4" X 4 3/8"</v>
      </c>
      <c r="C56" s="10" t="str">
        <f>T("KINETIC CONCEPTS INC")</f>
        <v>KINETIC CONCEPTS INC</v>
      </c>
      <c r="D56" s="10" t="str">
        <f>T("2982")</f>
        <v>2982</v>
      </c>
      <c r="E56" s="10" t="str">
        <f>T("A6022")</f>
        <v>A6022</v>
      </c>
      <c r="F56" s="10" t="str">
        <f>T("12/08/2017")</f>
        <v>12/08/2017</v>
      </c>
      <c r="G56" s="10" t="str">
        <f t="shared" ref="G56:H58" si="14">T("")</f>
        <v/>
      </c>
      <c r="H56" s="10" t="str">
        <f t="shared" si="14"/>
        <v/>
      </c>
    </row>
    <row r="57" spans="1:8" ht="13.5" customHeight="1" x14ac:dyDescent="0.2">
      <c r="A57" s="9" t="s">
        <v>9</v>
      </c>
      <c r="B57" s="10" t="str">
        <f>T("FIBRACOL PLUS COLLAGEN WOUND DRESSING WITH ALGINATE 4"" X 8 3/4""")</f>
        <v>FIBRACOL PLUS COLLAGEN WOUND DRESSING WITH ALGINATE 4" X 8 3/4"</v>
      </c>
      <c r="C57" s="10" t="str">
        <f>T("KINETIC CONCEPTS INC")</f>
        <v>KINETIC CONCEPTS INC</v>
      </c>
      <c r="D57" s="10" t="str">
        <f>T("2983")</f>
        <v>2983</v>
      </c>
      <c r="E57" s="10" t="str">
        <f>T("A6022")</f>
        <v>A6022</v>
      </c>
      <c r="F57" s="10" t="str">
        <f>T("12/08/2017")</f>
        <v>12/08/2017</v>
      </c>
      <c r="G57" s="10" t="str">
        <f t="shared" si="14"/>
        <v/>
      </c>
      <c r="H57" s="10" t="str">
        <f t="shared" si="14"/>
        <v/>
      </c>
    </row>
    <row r="58" spans="1:8" ht="13.5" customHeight="1" x14ac:dyDescent="0.2">
      <c r="A58" s="9" t="s">
        <v>9</v>
      </c>
      <c r="B58" s="10" t="str">
        <f>T("FIBRACOL PLUS COLLAGEN WOUND DRESSING WITH ALGINATE 3/8"" X 3/8"" X 15 3/4""")</f>
        <v>FIBRACOL PLUS COLLAGEN WOUND DRESSING WITH ALGINATE 3/8" X 3/8" X 15 3/4"</v>
      </c>
      <c r="C58" s="10" t="str">
        <f>T("KINETIC CONCEPTS INC")</f>
        <v>KINETIC CONCEPTS INC</v>
      </c>
      <c r="D58" s="10" t="str">
        <f>T("2984")</f>
        <v>2984</v>
      </c>
      <c r="E58" s="10" t="str">
        <f>T("A6024")</f>
        <v>A6024</v>
      </c>
      <c r="F58" s="10" t="str">
        <f>T("12/05/2017")</f>
        <v>12/05/2017</v>
      </c>
      <c r="G58" s="10" t="str">
        <f t="shared" si="14"/>
        <v/>
      </c>
      <c r="H58" s="10" t="str">
        <f t="shared" si="14"/>
        <v/>
      </c>
    </row>
    <row r="59" spans="1:8" ht="13.5" customHeight="1" x14ac:dyDescent="0.2">
      <c r="A59" s="9" t="s">
        <v>10</v>
      </c>
      <c r="B59" s="6" t="s">
        <v>16</v>
      </c>
      <c r="C59" s="6" t="s">
        <v>14</v>
      </c>
      <c r="D59" s="6"/>
      <c r="E59" s="6" t="s">
        <v>17</v>
      </c>
      <c r="F59" s="7">
        <v>36922</v>
      </c>
      <c r="G59" s="7">
        <v>43073</v>
      </c>
      <c r="H59" s="6"/>
    </row>
    <row r="60" spans="1:8" ht="13.5" customHeight="1" x14ac:dyDescent="0.2">
      <c r="A60" s="9" t="s">
        <v>9</v>
      </c>
      <c r="B60" s="10" t="str">
        <f>T("MEDVANCE ALGINATE")</f>
        <v>MEDVANCE ALGINATE</v>
      </c>
      <c r="C60" s="10" t="str">
        <f>T("MED WAY INC")</f>
        <v>MED WAY INC</v>
      </c>
      <c r="D60" s="10" t="str">
        <f>T("V4000202")</f>
        <v>V4000202</v>
      </c>
      <c r="E60" s="10" t="str">
        <f>T("A6196")</f>
        <v>A6196</v>
      </c>
      <c r="F60" s="10" t="str">
        <f>T("12/04/2017")</f>
        <v>12/04/2017</v>
      </c>
      <c r="G60" s="10" t="str">
        <f t="shared" ref="G60:H62" si="15">T("")</f>
        <v/>
      </c>
      <c r="H60" s="10" t="str">
        <f t="shared" si="15"/>
        <v/>
      </c>
    </row>
    <row r="61" spans="1:8" ht="13.5" customHeight="1" x14ac:dyDescent="0.2">
      <c r="A61" s="9" t="s">
        <v>9</v>
      </c>
      <c r="B61" s="10" t="str">
        <f>T("NU-DERM ALGINATE WOUND DRESSINGS STERILE 2"" X 2""")</f>
        <v>NU-DERM ALGINATE WOUND DRESSINGS STERILE 2" X 2"</v>
      </c>
      <c r="C61" s="10" t="str">
        <f>T("KINETIC CONCEPTS INC")</f>
        <v>KINETIC CONCEPTS INC</v>
      </c>
      <c r="D61" s="10" t="str">
        <f>T("AWD202")</f>
        <v>AWD202</v>
      </c>
      <c r="E61" s="10" t="str">
        <f>T("A6196")</f>
        <v>A6196</v>
      </c>
      <c r="F61" s="10" t="str">
        <f>T("12/18/2017")</f>
        <v>12/18/2017</v>
      </c>
      <c r="G61" s="10" t="str">
        <f t="shared" si="15"/>
        <v/>
      </c>
      <c r="H61" s="10" t="str">
        <f t="shared" si="15"/>
        <v/>
      </c>
    </row>
    <row r="62" spans="1:8" ht="13.5" customHeight="1" x14ac:dyDescent="0.2">
      <c r="A62" s="9" t="s">
        <v>9</v>
      </c>
      <c r="B62" s="10" t="str">
        <f>T("NU-DERM ALGINATE WOUND DRESSINGS STERILE 4"" X 4""")</f>
        <v>NU-DERM ALGINATE WOUND DRESSINGS STERILE 4" X 4"</v>
      </c>
      <c r="C62" s="10" t="str">
        <f>T("KINETIC CONCEPTS INC")</f>
        <v>KINETIC CONCEPTS INC</v>
      </c>
      <c r="D62" s="10" t="str">
        <f>T("AWD404")</f>
        <v>AWD404</v>
      </c>
      <c r="E62" s="10" t="str">
        <f>T("A6196")</f>
        <v>A6196</v>
      </c>
      <c r="F62" s="10" t="str">
        <f>T("12/18/2017")</f>
        <v>12/18/2017</v>
      </c>
      <c r="G62" s="10" t="str">
        <f t="shared" si="15"/>
        <v/>
      </c>
      <c r="H62" s="10" t="str">
        <f t="shared" si="15"/>
        <v/>
      </c>
    </row>
    <row r="63" spans="1:8" ht="13.5" customHeight="1" x14ac:dyDescent="0.2">
      <c r="A63" s="9" t="s">
        <v>10</v>
      </c>
      <c r="B63" s="5" t="str">
        <f>T("NU-DERM ALGINATE WOUND DRESSING")</f>
        <v>NU-DERM ALGINATE WOUND DRESSING</v>
      </c>
      <c r="C63" s="5" t="str">
        <f>T("ETHICON INC (A JOHNSON &amp; JOHNSON COMPANY)")</f>
        <v>ETHICON INC (A JOHNSON &amp; JOHNSON COMPANY)</v>
      </c>
      <c r="D63" s="5" t="str">
        <f>T("")</f>
        <v/>
      </c>
      <c r="E63" s="5" t="str">
        <f>T("A6196")</f>
        <v>A6196</v>
      </c>
      <c r="F63" s="5" t="str">
        <f>T("03/05/2003")</f>
        <v>03/05/2003</v>
      </c>
      <c r="G63" s="5" t="str">
        <f>T("12/17/2017")</f>
        <v>12/17/2017</v>
      </c>
      <c r="H63" s="5"/>
    </row>
    <row r="64" spans="1:8" ht="13.5" customHeight="1" x14ac:dyDescent="0.2">
      <c r="A64" s="9" t="s">
        <v>9</v>
      </c>
      <c r="B64" s="10" t="str">
        <f>T("MEDVANCE ALGINATE")</f>
        <v>MEDVANCE ALGINATE</v>
      </c>
      <c r="C64" s="10" t="str">
        <f>T("MED WAY INC")</f>
        <v>MED WAY INC</v>
      </c>
      <c r="D64" s="10" t="str">
        <f>T("V4000408")</f>
        <v>V4000408</v>
      </c>
      <c r="E64" s="10" t="str">
        <f>T("A6197")</f>
        <v>A6197</v>
      </c>
      <c r="F64" s="10" t="str">
        <f>T("12/04/2017")</f>
        <v>12/04/2017</v>
      </c>
      <c r="G64" s="10" t="str">
        <f>T("")</f>
        <v/>
      </c>
      <c r="H64" s="10" t="str">
        <f>T("")</f>
        <v/>
      </c>
    </row>
    <row r="65" spans="1:8" ht="13.5" customHeight="1" x14ac:dyDescent="0.2">
      <c r="A65" s="9" t="s">
        <v>10</v>
      </c>
      <c r="B65" s="5" t="str">
        <f>T("ACTISORB SILVER 220 ANTIMICROBIAL BINDING DRESSING")</f>
        <v>ACTISORB SILVER 220 ANTIMICROBIAL BINDING DRESSING</v>
      </c>
      <c r="C65" s="5" t="str">
        <f>T("ETHICON INC (A JOHNSON &amp; JOHNSON COMPANY)")</f>
        <v>ETHICON INC (A JOHNSON &amp; JOHNSON COMPANY)</v>
      </c>
      <c r="D65" s="5" t="str">
        <f>T("650220")</f>
        <v>650220</v>
      </c>
      <c r="E65" s="5" t="str">
        <f>T("A6206")</f>
        <v>A6206</v>
      </c>
      <c r="F65" s="5" t="str">
        <f>T("12/08/2003")</f>
        <v>12/08/2003</v>
      </c>
      <c r="G65" s="5" t="str">
        <f>T("12/27/2017")</f>
        <v>12/27/2017</v>
      </c>
      <c r="H65" s="5"/>
    </row>
    <row r="66" spans="1:8" ht="13.5" customHeight="1" x14ac:dyDescent="0.2">
      <c r="A66" s="9" t="s">
        <v>10</v>
      </c>
      <c r="B66" s="5" t="str">
        <f>T("ACTISORB SILVER 220 ANTIMICROBIAL BINDING DRESSING")</f>
        <v>ACTISORB SILVER 220 ANTIMICROBIAL BINDING DRESSING</v>
      </c>
      <c r="C66" s="5" t="str">
        <f>T("ETHICON INC (A JOHNSON &amp; JOHNSON COMPANY)")</f>
        <v>ETHICON INC (A JOHNSON &amp; JOHNSON COMPANY)</v>
      </c>
      <c r="D66" s="5" t="str">
        <f>T("190220")</f>
        <v>190220</v>
      </c>
      <c r="E66" s="5" t="str">
        <f>T("A6206 OR A6207")</f>
        <v>A6206 OR A6207</v>
      </c>
      <c r="F66" s="5" t="str">
        <f>T("12/08/2003")</f>
        <v>12/08/2003</v>
      </c>
      <c r="G66" s="5" t="str">
        <f>T("12/27/2017")</f>
        <v>12/27/2017</v>
      </c>
      <c r="H66" s="5"/>
    </row>
    <row r="67" spans="1:8" ht="13.5" customHeight="1" x14ac:dyDescent="0.2">
      <c r="A67" s="9" t="s">
        <v>10</v>
      </c>
      <c r="B67" s="5" t="str">
        <f>T("ACTISORB SILVER 220 ANTIMICROBIAL BINDING DRESSING")</f>
        <v>ACTISORB SILVER 220 ANTIMICROBIAL BINDING DRESSING</v>
      </c>
      <c r="C67" s="5" t="str">
        <f>T("ETHICON INC (A JOHNSON &amp; JOHNSON COMPANY)")</f>
        <v>ETHICON INC (A JOHNSON &amp; JOHNSON COMPANY)</v>
      </c>
      <c r="D67" s="5" t="str">
        <f>T("105220")</f>
        <v>105220</v>
      </c>
      <c r="E67" s="5" t="str">
        <f>T("A6206 OR A6207")</f>
        <v>A6206 OR A6207</v>
      </c>
      <c r="F67" s="5" t="str">
        <f>T("12/08/2003")</f>
        <v>12/08/2003</v>
      </c>
      <c r="G67" s="5" t="str">
        <f>T("12/27/2017")</f>
        <v>12/27/2017</v>
      </c>
      <c r="H67" s="5"/>
    </row>
    <row r="68" spans="1:8" ht="13.5" customHeight="1" x14ac:dyDescent="0.2">
      <c r="A68" s="9" t="s">
        <v>9</v>
      </c>
      <c r="B68" s="10" t="str">
        <f>T("MEDVANCE FOAM")</f>
        <v>MEDVANCE FOAM</v>
      </c>
      <c r="C68" s="10" t="str">
        <f>T("MED WAY INC")</f>
        <v>MED WAY INC</v>
      </c>
      <c r="D68" s="10" t="str">
        <f>T("V1000202")</f>
        <v>V1000202</v>
      </c>
      <c r="E68" s="10" t="str">
        <f>T("A6209")</f>
        <v>A6209</v>
      </c>
      <c r="F68" s="10" t="str">
        <f>T("12/04/2017")</f>
        <v>12/04/2017</v>
      </c>
      <c r="G68" s="10" t="str">
        <f t="shared" ref="G68:H77" si="16">T("")</f>
        <v/>
      </c>
      <c r="H68" s="10" t="str">
        <f t="shared" si="16"/>
        <v/>
      </c>
    </row>
    <row r="69" spans="1:8" ht="13.5" customHeight="1" x14ac:dyDescent="0.2">
      <c r="A69" s="9" t="s">
        <v>9</v>
      </c>
      <c r="B69" s="10" t="str">
        <f>T("MEDVANCE SILICONE FOAM")</f>
        <v>MEDVANCE SILICONE FOAM</v>
      </c>
      <c r="C69" s="10" t="str">
        <f>T("MED WAY INC")</f>
        <v>MED WAY INC</v>
      </c>
      <c r="D69" s="10" t="str">
        <f>T("V3000202")</f>
        <v>V3000202</v>
      </c>
      <c r="E69" s="10" t="str">
        <f>T("A6209")</f>
        <v>A6209</v>
      </c>
      <c r="F69" s="10" t="str">
        <f>T("12/04/2017")</f>
        <v>12/04/2017</v>
      </c>
      <c r="G69" s="10" t="str">
        <f t="shared" si="16"/>
        <v/>
      </c>
      <c r="H69" s="10" t="str">
        <f t="shared" si="16"/>
        <v/>
      </c>
    </row>
    <row r="70" spans="1:8" ht="13.5" customHeight="1" x14ac:dyDescent="0.2">
      <c r="A70" s="9" t="s">
        <v>9</v>
      </c>
      <c r="B70" s="10" t="str">
        <f>T("TIELLE PLUS HEEL HYDROPOLYMER ADHESIVE DRESSING 7 7/8"" X 10 1/2""")</f>
        <v>TIELLE PLUS HEEL HYDROPOLYMER ADHESIVE DRESSING 7 7/8" X 10 1/2"</v>
      </c>
      <c r="C70" s="10" t="str">
        <f>T("KINETIC CONCEPTS INC")</f>
        <v>KINETIC CONCEPTS INC</v>
      </c>
      <c r="D70" s="10" t="str">
        <f>T("MTP508")</f>
        <v>MTP508</v>
      </c>
      <c r="E70" s="10" t="str">
        <f>T("A6210")</f>
        <v>A6210</v>
      </c>
      <c r="F70" s="10" t="str">
        <f>T("12/28/2017")</f>
        <v>12/28/2017</v>
      </c>
      <c r="G70" s="10" t="str">
        <f t="shared" si="16"/>
        <v/>
      </c>
      <c r="H70" s="10" t="str">
        <f t="shared" si="16"/>
        <v/>
      </c>
    </row>
    <row r="71" spans="1:8" ht="13.5" customHeight="1" x14ac:dyDescent="0.2">
      <c r="A71" s="9" t="s">
        <v>9</v>
      </c>
      <c r="B71" s="10" t="str">
        <f>T("MEDVANCE SILICONE FOAM")</f>
        <v>MEDVANCE SILICONE FOAM</v>
      </c>
      <c r="C71" s="10" t="str">
        <f>T("MED WAY INC")</f>
        <v>MED WAY INC</v>
      </c>
      <c r="D71" s="10" t="str">
        <f>T("V3000808")</f>
        <v>V3000808</v>
      </c>
      <c r="E71" s="10" t="str">
        <f>T("A6211")</f>
        <v>A6211</v>
      </c>
      <c r="F71" s="10" t="str">
        <f>T("12/01/2017")</f>
        <v>12/01/2017</v>
      </c>
      <c r="G71" s="10" t="str">
        <f t="shared" si="16"/>
        <v/>
      </c>
      <c r="H71" s="10" t="str">
        <f t="shared" si="16"/>
        <v/>
      </c>
    </row>
    <row r="72" spans="1:8" ht="13.5" customHeight="1" x14ac:dyDescent="0.2">
      <c r="A72" s="9" t="s">
        <v>9</v>
      </c>
      <c r="B72" s="10" t="str">
        <f>T("TIELLE PLUS HYDROPOLYMER ADHESIVE DRESSING 4 1/4"" X 4 1/4""")</f>
        <v>TIELLE PLUS HYDROPOLYMER ADHESIVE DRESSING 4 1/4" X 4 1/4"</v>
      </c>
      <c r="C72" s="10" t="str">
        <f t="shared" ref="C72:C77" si="17">T("KINETIC CONCEPTS INC")</f>
        <v>KINETIC CONCEPTS INC</v>
      </c>
      <c r="D72" s="10" t="str">
        <f>T("MTP501")</f>
        <v>MTP501</v>
      </c>
      <c r="E72" s="10" t="str">
        <f t="shared" ref="E72:E79" si="18">T("A6212")</f>
        <v>A6212</v>
      </c>
      <c r="F72" s="10" t="str">
        <f>T("12/12/2017")</f>
        <v>12/12/2017</v>
      </c>
      <c r="G72" s="10" t="str">
        <f t="shared" si="16"/>
        <v/>
      </c>
      <c r="H72" s="10" t="str">
        <f t="shared" si="16"/>
        <v/>
      </c>
    </row>
    <row r="73" spans="1:8" ht="13.5" customHeight="1" x14ac:dyDescent="0.2">
      <c r="A73" s="9" t="s">
        <v>9</v>
      </c>
      <c r="B73" s="10" t="str">
        <f>T("TIELLE LITE HYDROPOLYMER ADHESIVE DRESSING 2 3/4"" X 3 1/2""")</f>
        <v>TIELLE LITE HYDROPOLYMER ADHESIVE DRESSING 2 3/4" X 3 1/2"</v>
      </c>
      <c r="C73" s="10" t="str">
        <f t="shared" si="17"/>
        <v>KINETIC CONCEPTS INC</v>
      </c>
      <c r="D73" s="10" t="str">
        <f>T("MTL300EN")</f>
        <v>MTL300EN</v>
      </c>
      <c r="E73" s="10" t="str">
        <f t="shared" si="18"/>
        <v>A6212</v>
      </c>
      <c r="F73" s="10" t="str">
        <f>T("12/12/2017")</f>
        <v>12/12/2017</v>
      </c>
      <c r="G73" s="10" t="str">
        <f t="shared" si="16"/>
        <v/>
      </c>
      <c r="H73" s="10" t="str">
        <f t="shared" si="16"/>
        <v/>
      </c>
    </row>
    <row r="74" spans="1:8" ht="13.5" customHeight="1" x14ac:dyDescent="0.2">
      <c r="A74" s="9" t="s">
        <v>9</v>
      </c>
      <c r="B74" s="10" t="str">
        <f>T("TIELLE LITE HYDROPOLYMER ADHESIVE DRESSING 4 1/4"" X 4 1/4""")</f>
        <v>TIELLE LITE HYDROPOLYMER ADHESIVE DRESSING 4 1/4" X 4 1/4"</v>
      </c>
      <c r="C74" s="10" t="str">
        <f t="shared" si="17"/>
        <v>KINETIC CONCEPTS INC</v>
      </c>
      <c r="D74" s="10" t="str">
        <f>T("MTL301EN")</f>
        <v>MTL301EN</v>
      </c>
      <c r="E74" s="10" t="str">
        <f t="shared" si="18"/>
        <v>A6212</v>
      </c>
      <c r="F74" s="10" t="str">
        <f>T("12/12/2017")</f>
        <v>12/12/2017</v>
      </c>
      <c r="G74" s="10" t="str">
        <f t="shared" si="16"/>
        <v/>
      </c>
      <c r="H74" s="10" t="str">
        <f t="shared" si="16"/>
        <v/>
      </c>
    </row>
    <row r="75" spans="1:8" ht="13.5" customHeight="1" x14ac:dyDescent="0.2">
      <c r="A75" s="9" t="s">
        <v>9</v>
      </c>
      <c r="B75" s="10" t="str">
        <f>T("TIELLE LITE HYDROPOLYMER ADHESIVE DRESSING 3 1/8"" X 5 7/8""")</f>
        <v>TIELLE LITE HYDROPOLYMER ADHESIVE DRESSING 3 1/8" X 5 7/8"</v>
      </c>
      <c r="C75" s="10" t="str">
        <f t="shared" si="17"/>
        <v>KINETIC CONCEPTS INC</v>
      </c>
      <c r="D75" s="10" t="str">
        <f>T("MTL308")</f>
        <v>MTL308</v>
      </c>
      <c r="E75" s="10" t="str">
        <f t="shared" si="18"/>
        <v>A6212</v>
      </c>
      <c r="F75" s="10" t="str">
        <f>T("12/12/2017")</f>
        <v>12/12/2017</v>
      </c>
      <c r="G75" s="10" t="str">
        <f t="shared" si="16"/>
        <v/>
      </c>
      <c r="H75" s="10" t="str">
        <f t="shared" si="16"/>
        <v/>
      </c>
    </row>
    <row r="76" spans="1:8" ht="13.5" customHeight="1" x14ac:dyDescent="0.2">
      <c r="A76" s="9" t="s">
        <v>9</v>
      </c>
      <c r="B76" s="10" t="str">
        <f>T("TIELLE LITE HYDROPOLYMER ADHESIVE DRESSING 3 1/8"" X 7 7/8""")</f>
        <v>TIELLE LITE HYDROPOLYMER ADHESIVE DRESSING 3 1/8" X 7 7/8"</v>
      </c>
      <c r="C76" s="10" t="str">
        <f t="shared" si="17"/>
        <v>KINETIC CONCEPTS INC</v>
      </c>
      <c r="D76" s="10" t="str">
        <f>T("MTL309")</f>
        <v>MTL309</v>
      </c>
      <c r="E76" s="10" t="str">
        <f t="shared" si="18"/>
        <v>A6212</v>
      </c>
      <c r="F76" s="10" t="str">
        <f>T("12/12/2017")</f>
        <v>12/12/2017</v>
      </c>
      <c r="G76" s="10" t="str">
        <f t="shared" si="16"/>
        <v/>
      </c>
      <c r="H76" s="10" t="str">
        <f t="shared" si="16"/>
        <v/>
      </c>
    </row>
    <row r="77" spans="1:8" ht="13.5" customHeight="1" x14ac:dyDescent="0.2">
      <c r="A77" s="9" t="s">
        <v>9</v>
      </c>
      <c r="B77" s="10" t="str">
        <f>T("TIELLE PLUS SACRUM HYDROPOLYMER ADHESIVE DRESSING 5 7/8"" X 5 7/8""")</f>
        <v>TIELLE PLUS SACRUM HYDROPOLYMER ADHESIVE DRESSING 5 7/8" X 5 7/8"</v>
      </c>
      <c r="C77" s="10" t="str">
        <f t="shared" si="17"/>
        <v>KINETIC CONCEPTS INC</v>
      </c>
      <c r="D77" s="10" t="str">
        <f>T("MTP506")</f>
        <v>MTP506</v>
      </c>
      <c r="E77" s="10" t="str">
        <f t="shared" si="18"/>
        <v>A6212</v>
      </c>
      <c r="F77" s="10" t="str">
        <f>T("12/28/2017")</f>
        <v>12/28/2017</v>
      </c>
      <c r="G77" s="10" t="str">
        <f t="shared" si="16"/>
        <v/>
      </c>
      <c r="H77" s="10" t="str">
        <f t="shared" si="16"/>
        <v/>
      </c>
    </row>
    <row r="78" spans="1:8" ht="13.5" customHeight="1" x14ac:dyDescent="0.2">
      <c r="A78" s="9" t="s">
        <v>10</v>
      </c>
      <c r="B78" s="5" t="str">
        <f>T("TIELLE")</f>
        <v>TIELLE</v>
      </c>
      <c r="C78" s="5" t="str">
        <f>T("JOHNSON &amp; JOHNSON (A DIVISION OF ETHICON INC)")</f>
        <v>JOHNSON &amp; JOHNSON (A DIVISION OF ETHICON INC)</v>
      </c>
      <c r="D78" s="5" t="str">
        <f>T("")</f>
        <v/>
      </c>
      <c r="E78" s="5" t="str">
        <f t="shared" si="18"/>
        <v>A6212</v>
      </c>
      <c r="F78" s="5" t="str">
        <f>T("09/18/1996")</f>
        <v>09/18/1996</v>
      </c>
      <c r="G78" s="5" t="str">
        <f>T("12/11/2017")</f>
        <v>12/11/2017</v>
      </c>
      <c r="H78" s="5" t="str">
        <f>T("")</f>
        <v/>
      </c>
    </row>
    <row r="79" spans="1:8" ht="13.5" customHeight="1" x14ac:dyDescent="0.2">
      <c r="A79" s="9" t="s">
        <v>10</v>
      </c>
      <c r="B79" s="5" t="str">
        <f>T("TIELLE PLUS")</f>
        <v>TIELLE PLUS</v>
      </c>
      <c r="C79" s="5" t="str">
        <f>T("JOHNSON &amp; JOHNSON (A DIVISION OF ETHICON INC)")</f>
        <v>JOHNSON &amp; JOHNSON (A DIVISION OF ETHICON INC)</v>
      </c>
      <c r="D79" s="5" t="str">
        <f>T("")</f>
        <v/>
      </c>
      <c r="E79" s="5" t="str">
        <f t="shared" si="18"/>
        <v>A6212</v>
      </c>
      <c r="F79" s="5" t="str">
        <f>T("04/04/2002")</f>
        <v>04/04/2002</v>
      </c>
      <c r="G79" s="5" t="str">
        <f>T("12/27/2017")</f>
        <v>12/27/2017</v>
      </c>
      <c r="H79" s="5"/>
    </row>
    <row r="80" spans="1:8" ht="13.5" customHeight="1" x14ac:dyDescent="0.2">
      <c r="A80" s="9" t="s">
        <v>9</v>
      </c>
      <c r="B80" s="10" t="str">
        <f>T("TIELLE LITE HYDROPOLYMER ADHESIVE DRESSING 4"" X 11 3/4""")</f>
        <v>TIELLE LITE HYDROPOLYMER ADHESIVE DRESSING 4" X 11 3/4"</v>
      </c>
      <c r="C80" s="10" t="str">
        <f>T("KINETIC CONCEPTS INC")</f>
        <v>KINETIC CONCEPTS INC</v>
      </c>
      <c r="D80" s="10" t="str">
        <f>T("MTL310")</f>
        <v>MTL310</v>
      </c>
      <c r="E80" s="10" t="str">
        <f>T("A6213")</f>
        <v>A6213</v>
      </c>
      <c r="F80" s="10" t="str">
        <f>T("12/12/2017")</f>
        <v>12/12/2017</v>
      </c>
      <c r="G80" s="10" t="str">
        <f t="shared" ref="G80:H84" si="19">T("")</f>
        <v/>
      </c>
      <c r="H80" s="10" t="str">
        <f t="shared" si="19"/>
        <v/>
      </c>
    </row>
    <row r="81" spans="1:8" ht="13.5" customHeight="1" x14ac:dyDescent="0.2">
      <c r="A81" s="9" t="s">
        <v>9</v>
      </c>
      <c r="B81" s="10" t="str">
        <f>T("TIELLE PLUS HYDROPOLYMER ADHESIVE DRESSING 5 7/8"" X 7 3/4""")</f>
        <v>TIELLE PLUS HYDROPOLYMER ADHESIVE DRESSING 5 7/8" X 7 3/4"</v>
      </c>
      <c r="C81" s="10" t="str">
        <f>T("KINETIC CONCEPTS INC")</f>
        <v>KINETIC CONCEPTS INC</v>
      </c>
      <c r="D81" s="10" t="str">
        <f>T("MTP502")</f>
        <v>MTP502</v>
      </c>
      <c r="E81" s="10" t="str">
        <f>T("A6213")</f>
        <v>A6213</v>
      </c>
      <c r="F81" s="10" t="str">
        <f>T("12/28/2017")</f>
        <v>12/28/2017</v>
      </c>
      <c r="G81" s="10" t="str">
        <f t="shared" si="19"/>
        <v/>
      </c>
      <c r="H81" s="10" t="str">
        <f t="shared" si="19"/>
        <v/>
      </c>
    </row>
    <row r="82" spans="1:8" ht="13.5" customHeight="1" x14ac:dyDescent="0.2">
      <c r="A82" s="9" t="s">
        <v>9</v>
      </c>
      <c r="B82" s="10" t="str">
        <f>T("TIELLE PLUS HYDROPOLYMER ADHESIVE DRESSING 5 7/8"" X 5 7/8""")</f>
        <v>TIELLE PLUS HYDROPOLYMER ADHESIVE DRESSING 5 7/8" X 5 7/8"</v>
      </c>
      <c r="C82" s="10" t="str">
        <f>T("KINETIC CONCEPTS INC")</f>
        <v>KINETIC CONCEPTS INC</v>
      </c>
      <c r="D82" s="10" t="str">
        <f>T("MTP505")</f>
        <v>MTP505</v>
      </c>
      <c r="E82" s="10" t="str">
        <f>T("A6213")</f>
        <v>A6213</v>
      </c>
      <c r="F82" s="10" t="str">
        <f>T("12/28/2017")</f>
        <v>12/28/2017</v>
      </c>
      <c r="G82" s="10" t="str">
        <f t="shared" si="19"/>
        <v/>
      </c>
      <c r="H82" s="10" t="str">
        <f t="shared" si="19"/>
        <v/>
      </c>
    </row>
    <row r="83" spans="1:8" ht="13.5" customHeight="1" x14ac:dyDescent="0.2">
      <c r="A83" s="9" t="s">
        <v>9</v>
      </c>
      <c r="B83" s="10" t="str">
        <f>T("TIELLE PACKING 3 3/4"" X 3 3/4""")</f>
        <v>TIELLE PACKING 3 3/4" X 3 3/4"</v>
      </c>
      <c r="C83" s="10" t="str">
        <f>T("KINETIC CONCEPTS INC")</f>
        <v>KINETIC CONCEPTS INC</v>
      </c>
      <c r="D83" s="10" t="str">
        <f>T("MT2450")</f>
        <v>MT2450</v>
      </c>
      <c r="E83" s="10" t="str">
        <f>T("A6215")</f>
        <v>A6215</v>
      </c>
      <c r="F83" s="10" t="str">
        <f>T("12/11/2017")</f>
        <v>12/11/2017</v>
      </c>
      <c r="G83" s="10" t="str">
        <f t="shared" si="19"/>
        <v/>
      </c>
      <c r="H83" s="10" t="str">
        <f t="shared" si="19"/>
        <v/>
      </c>
    </row>
    <row r="84" spans="1:8" ht="13.5" customHeight="1" x14ac:dyDescent="0.2">
      <c r="A84" s="9" t="s">
        <v>9</v>
      </c>
      <c r="B84" s="10" t="str">
        <f>T("ADAPTIC NON-ADHERING DRESSING 3"" X 3""")</f>
        <v>ADAPTIC NON-ADHERING DRESSING 3" X 3"</v>
      </c>
      <c r="C84" s="10" t="str">
        <f>T("KINETIC CONCEPTS INC")</f>
        <v>KINETIC CONCEPTS INC</v>
      </c>
      <c r="D84" s="10" t="str">
        <f>T("2012")</f>
        <v>2012</v>
      </c>
      <c r="E84" s="10" t="str">
        <f>T("A6222")</f>
        <v>A6222</v>
      </c>
      <c r="F84" s="10" t="str">
        <f>T("12/12/2017")</f>
        <v>12/12/2017</v>
      </c>
      <c r="G84" s="10" t="str">
        <f t="shared" si="19"/>
        <v/>
      </c>
      <c r="H84" s="10" t="str">
        <f t="shared" si="19"/>
        <v/>
      </c>
    </row>
    <row r="85" spans="1:8" ht="13.5" customHeight="1" x14ac:dyDescent="0.2">
      <c r="A85" s="9" t="s">
        <v>10</v>
      </c>
      <c r="B85" s="6" t="s">
        <v>18</v>
      </c>
      <c r="C85" s="6" t="s">
        <v>14</v>
      </c>
      <c r="D85" s="6"/>
      <c r="E85" s="6" t="s">
        <v>19</v>
      </c>
      <c r="F85" s="7">
        <v>36525</v>
      </c>
      <c r="G85" s="7">
        <v>43073</v>
      </c>
      <c r="H85" s="6"/>
    </row>
    <row r="86" spans="1:8" ht="13.5" customHeight="1" x14ac:dyDescent="0.2">
      <c r="A86" s="9" t="s">
        <v>10</v>
      </c>
      <c r="B86" s="6" t="s">
        <v>20</v>
      </c>
      <c r="C86" s="6" t="s">
        <v>14</v>
      </c>
      <c r="D86" s="6"/>
      <c r="E86" s="6" t="s">
        <v>19</v>
      </c>
      <c r="F86" s="7">
        <v>36746</v>
      </c>
      <c r="G86" s="7">
        <v>43073</v>
      </c>
      <c r="H86" s="6"/>
    </row>
    <row r="87" spans="1:8" ht="13.5" customHeight="1" x14ac:dyDescent="0.2">
      <c r="A87" s="9" t="s">
        <v>10</v>
      </c>
      <c r="B87" s="6" t="s">
        <v>21</v>
      </c>
      <c r="C87" s="6" t="s">
        <v>14</v>
      </c>
      <c r="D87" s="6"/>
      <c r="E87" s="6" t="s">
        <v>19</v>
      </c>
      <c r="F87" s="7">
        <v>36746</v>
      </c>
      <c r="G87" s="7">
        <v>43073</v>
      </c>
      <c r="H87" s="6"/>
    </row>
    <row r="88" spans="1:8" ht="13.5" customHeight="1" x14ac:dyDescent="0.2">
      <c r="A88" s="9" t="s">
        <v>9</v>
      </c>
      <c r="B88" s="10" t="str">
        <f>T("ADAPTIC NON-ADHERING DRESSING 3"" X 8""")</f>
        <v>ADAPTIC NON-ADHERING DRESSING 3" X 8"</v>
      </c>
      <c r="C88" s="10" t="str">
        <f>T("KINETIC CONCEPTS INC")</f>
        <v>KINETIC CONCEPTS INC</v>
      </c>
      <c r="D88" s="10" t="str">
        <f>T("2013")</f>
        <v>2013</v>
      </c>
      <c r="E88" s="10" t="str">
        <f>T("A6223")</f>
        <v>A6223</v>
      </c>
      <c r="F88" s="10" t="str">
        <f>T("12/05/2017")</f>
        <v>12/05/2017</v>
      </c>
      <c r="G88" s="10" t="str">
        <f t="shared" ref="G88:H94" si="20">T("")</f>
        <v/>
      </c>
      <c r="H88" s="10" t="str">
        <f t="shared" si="20"/>
        <v/>
      </c>
    </row>
    <row r="89" spans="1:8" ht="13.5" customHeight="1" x14ac:dyDescent="0.2">
      <c r="A89" s="9" t="s">
        <v>9</v>
      </c>
      <c r="B89" s="10" t="str">
        <f>T("ADAPTIC NON-ADHERING DRESSING 3"" X 16""")</f>
        <v>ADAPTIC NON-ADHERING DRESSING 3" X 16"</v>
      </c>
      <c r="C89" s="10" t="str">
        <f>T("KINETIC CONCEPTS INC")</f>
        <v>KINETIC CONCEPTS INC</v>
      </c>
      <c r="D89" s="10" t="str">
        <f>T("2014")</f>
        <v>2014</v>
      </c>
      <c r="E89" s="10" t="str">
        <f>T("A6223")</f>
        <v>A6223</v>
      </c>
      <c r="F89" s="10" t="str">
        <f>T("12/05/2017")</f>
        <v>12/05/2017</v>
      </c>
      <c r="G89" s="10" t="str">
        <f t="shared" si="20"/>
        <v/>
      </c>
      <c r="H89" s="10" t="str">
        <f t="shared" si="20"/>
        <v/>
      </c>
    </row>
    <row r="90" spans="1:8" ht="13.5" customHeight="1" x14ac:dyDescent="0.2">
      <c r="A90" s="9" t="s">
        <v>9</v>
      </c>
      <c r="B90" s="10" t="str">
        <f>T("ADAPTIC NON-ADHERING DRESSING 3"" X 8""")</f>
        <v>ADAPTIC NON-ADHERING DRESSING 3" X 8"</v>
      </c>
      <c r="C90" s="10" t="str">
        <f>T("KINETIC CONCEPTS INC")</f>
        <v>KINETIC CONCEPTS INC</v>
      </c>
      <c r="D90" s="10" t="str">
        <f>T("2015")</f>
        <v>2015</v>
      </c>
      <c r="E90" s="10" t="str">
        <f>T("A6223")</f>
        <v>A6223</v>
      </c>
      <c r="F90" s="10" t="str">
        <f>T("12/05/2017")</f>
        <v>12/05/2017</v>
      </c>
      <c r="G90" s="10" t="str">
        <f t="shared" si="20"/>
        <v/>
      </c>
      <c r="H90" s="10" t="str">
        <f t="shared" si="20"/>
        <v/>
      </c>
    </row>
    <row r="91" spans="1:8" ht="13.5" customHeight="1" x14ac:dyDescent="0.2">
      <c r="A91" s="9" t="s">
        <v>9</v>
      </c>
      <c r="B91" s="10" t="str">
        <f>T("ADAPTIC NON-ADHERING DRESSING 5"" X 9""")</f>
        <v>ADAPTIC NON-ADHERING DRESSING 5" X 9"</v>
      </c>
      <c r="C91" s="10" t="str">
        <f>T("KINETIC CONCEPTS INC")</f>
        <v>KINETIC CONCEPTS INC</v>
      </c>
      <c r="D91" s="10" t="str">
        <f>T("2019")</f>
        <v>2019</v>
      </c>
      <c r="E91" s="10" t="str">
        <f>T("A6223")</f>
        <v>A6223</v>
      </c>
      <c r="F91" s="10" t="str">
        <f>T("12/04/2017")</f>
        <v>12/04/2017</v>
      </c>
      <c r="G91" s="10" t="str">
        <f t="shared" si="20"/>
        <v/>
      </c>
      <c r="H91" s="10" t="str">
        <f t="shared" si="20"/>
        <v/>
      </c>
    </row>
    <row r="92" spans="1:8" ht="13.5" customHeight="1" x14ac:dyDescent="0.2">
      <c r="A92" s="9" t="s">
        <v>9</v>
      </c>
      <c r="B92" s="10" t="str">
        <f>T("MEDVANCE HYDROCOLLOID WITH FOAM CUSHION")</f>
        <v>MEDVANCE HYDROCOLLOID WITH FOAM CUSHION</v>
      </c>
      <c r="C92" s="10" t="str">
        <f>T("MED WAY INC")</f>
        <v>MED WAY INC</v>
      </c>
      <c r="D92" s="10" t="str">
        <f>T("V2500404")</f>
        <v>V2500404</v>
      </c>
      <c r="E92" s="10" t="str">
        <f>T("A6234")</f>
        <v>A6234</v>
      </c>
      <c r="F92" s="10" t="str">
        <f>T("12/11/2017")</f>
        <v>12/11/2017</v>
      </c>
      <c r="G92" s="10" t="str">
        <f t="shared" si="20"/>
        <v/>
      </c>
      <c r="H92" s="10" t="str">
        <f t="shared" si="20"/>
        <v/>
      </c>
    </row>
    <row r="93" spans="1:8" ht="13.5" customHeight="1" x14ac:dyDescent="0.2">
      <c r="A93" s="9" t="s">
        <v>9</v>
      </c>
      <c r="B93" s="10" t="str">
        <f>T("MEDVANCE HYDROCOLLOID EXTRA THIN")</f>
        <v>MEDVANCE HYDROCOLLOID EXTRA THIN</v>
      </c>
      <c r="C93" s="10" t="str">
        <f>T("MED WAY INC")</f>
        <v>MED WAY INC</v>
      </c>
      <c r="D93" s="10" t="str">
        <f>T("V2400606")</f>
        <v>V2400606</v>
      </c>
      <c r="E93" s="10" t="str">
        <f>T("A6235")</f>
        <v>A6235</v>
      </c>
      <c r="F93" s="10" t="str">
        <f>T("12/04/2017")</f>
        <v>12/04/2017</v>
      </c>
      <c r="G93" s="10" t="str">
        <f t="shared" si="20"/>
        <v/>
      </c>
      <c r="H93" s="10" t="str">
        <f t="shared" si="20"/>
        <v/>
      </c>
    </row>
    <row r="94" spans="1:8" ht="13.5" customHeight="1" x14ac:dyDescent="0.2">
      <c r="A94" s="9" t="s">
        <v>9</v>
      </c>
      <c r="B94" s="10" t="str">
        <f>T("MEDVANCE HYDROCOLLOID WITH BORDER")</f>
        <v>MEDVANCE HYDROCOLLOID WITH BORDER</v>
      </c>
      <c r="C94" s="10" t="str">
        <f>T("MED WAY INC")</f>
        <v>MED WAY INC</v>
      </c>
      <c r="D94" s="10" t="str">
        <f>T("V2010606")</f>
        <v>V2010606</v>
      </c>
      <c r="E94" s="10" t="str">
        <f>T("A6238")</f>
        <v>A6238</v>
      </c>
      <c r="F94" s="10" t="str">
        <f>T("12/04/2017")</f>
        <v>12/04/2017</v>
      </c>
      <c r="G94" s="10" t="str">
        <f t="shared" si="20"/>
        <v/>
      </c>
      <c r="H94" s="10" t="str">
        <f t="shared" si="20"/>
        <v/>
      </c>
    </row>
    <row r="95" spans="1:8" ht="13.5" customHeight="1" x14ac:dyDescent="0.2">
      <c r="A95" s="9" t="s">
        <v>9</v>
      </c>
      <c r="B95" s="10" t="str">
        <f>T("MEDVANCE HYDROCOLLOID WITH BORDER")</f>
        <v>MEDVANCE HYDROCOLLOID WITH BORDER</v>
      </c>
      <c r="C95" s="10" t="str">
        <f>T("MED WAY INC")</f>
        <v>MED WAY INC</v>
      </c>
      <c r="D95" s="10" t="str">
        <f>T("V2110607")</f>
        <v>V2110607</v>
      </c>
      <c r="E95" s="10" t="str">
        <f>T("A6238")</f>
        <v>A6238</v>
      </c>
      <c r="F95" s="10" t="str">
        <f>T("12/04/2017")</f>
        <v>12/04/2017</v>
      </c>
      <c r="G95" s="10" t="str">
        <f t="shared" ref="G95:G103" si="21">T("")</f>
        <v/>
      </c>
      <c r="H95" s="10"/>
    </row>
    <row r="96" spans="1:8" ht="13.5" customHeight="1" x14ac:dyDescent="0.2">
      <c r="A96" s="9" t="s">
        <v>9</v>
      </c>
      <c r="B96" s="10" t="str">
        <f>T("SAFE N SIMPLE SIMPURITY HYDROGEL DRESSING 2 X 2 INCH")</f>
        <v>SAFE N SIMPLE SIMPURITY HYDROGEL DRESSING 2 X 2 INCH</v>
      </c>
      <c r="C96" s="10" t="str">
        <f>T("SAFE N SIMPLE LLC")</f>
        <v>SAFE N SIMPLE LLC</v>
      </c>
      <c r="D96" s="10" t="str">
        <f>T("SNS58302")</f>
        <v>SNS58302</v>
      </c>
      <c r="E96" s="10" t="str">
        <f>T("A6242")</f>
        <v>A6242</v>
      </c>
      <c r="F96" s="10" t="str">
        <f>T("12/28/2017")</f>
        <v>12/28/2017</v>
      </c>
      <c r="G96" s="10" t="str">
        <f t="shared" si="21"/>
        <v/>
      </c>
      <c r="H96" s="10" t="str">
        <f t="shared" ref="H96:H103" si="22">T("")</f>
        <v/>
      </c>
    </row>
    <row r="97" spans="1:8" ht="13.5" customHeight="1" x14ac:dyDescent="0.2">
      <c r="A97" s="9" t="s">
        <v>9</v>
      </c>
      <c r="B97" s="10" t="str">
        <f>T("BIATAIN SILICONE MULTISHAPE")</f>
        <v>BIATAIN SILICONE MULTISHAPE</v>
      </c>
      <c r="C97" s="10" t="str">
        <f>T("COLOPLAST CORP")</f>
        <v>COLOPLAST CORP</v>
      </c>
      <c r="D97" s="10" t="str">
        <f>T("33408")</f>
        <v>33408</v>
      </c>
      <c r="E97" s="10" t="str">
        <f>T("A6245")</f>
        <v>A6245</v>
      </c>
      <c r="F97" s="10" t="str">
        <f>T("12/01/2017")</f>
        <v>12/01/2017</v>
      </c>
      <c r="G97" s="10" t="str">
        <f t="shared" si="21"/>
        <v/>
      </c>
      <c r="H97" s="10" t="str">
        <f t="shared" si="22"/>
        <v/>
      </c>
    </row>
    <row r="98" spans="1:8" ht="13.5" customHeight="1" x14ac:dyDescent="0.2">
      <c r="A98" s="9" t="s">
        <v>9</v>
      </c>
      <c r="B98" s="10" t="str">
        <f>T("BIATAIN SILICONE - POST-OPERATIVE DRESSING")</f>
        <v>BIATAIN SILICONE - POST-OPERATIVE DRESSING</v>
      </c>
      <c r="C98" s="10" t="str">
        <f>T("COLOPLAST CORP")</f>
        <v>COLOPLAST CORP</v>
      </c>
      <c r="D98" s="10" t="str">
        <f>T("33400")</f>
        <v>33400</v>
      </c>
      <c r="E98" s="10" t="str">
        <f>T("A6245")</f>
        <v>A6245</v>
      </c>
      <c r="F98" s="10" t="str">
        <f>T("12/01/2017")</f>
        <v>12/01/2017</v>
      </c>
      <c r="G98" s="10" t="str">
        <f t="shared" si="21"/>
        <v/>
      </c>
      <c r="H98" s="10" t="str">
        <f t="shared" si="22"/>
        <v/>
      </c>
    </row>
    <row r="99" spans="1:8" ht="13.5" customHeight="1" x14ac:dyDescent="0.2">
      <c r="A99" s="9" t="s">
        <v>9</v>
      </c>
      <c r="B99" s="10" t="str">
        <f>T("BIATAIN SILICONE - HEEL")</f>
        <v>BIATAIN SILICONE - HEEL</v>
      </c>
      <c r="C99" s="10" t="str">
        <f>T("COLOPLAST CORP")</f>
        <v>COLOPLAST CORP</v>
      </c>
      <c r="D99" s="10" t="str">
        <f>T("33406")</f>
        <v>33406</v>
      </c>
      <c r="E99" s="10" t="str">
        <f>T("A6245")</f>
        <v>A6245</v>
      </c>
      <c r="F99" s="10" t="str">
        <f>T("12/01/2017")</f>
        <v>12/01/2017</v>
      </c>
      <c r="G99" s="10" t="str">
        <f t="shared" si="21"/>
        <v/>
      </c>
      <c r="H99" s="10" t="str">
        <f t="shared" si="22"/>
        <v/>
      </c>
    </row>
    <row r="100" spans="1:8" ht="13.5" customHeight="1" x14ac:dyDescent="0.2">
      <c r="A100" s="9" t="s">
        <v>9</v>
      </c>
      <c r="B100" s="10" t="str">
        <f>T("SIMPURITY HYDROGEL DRESSING 2 X 2 INCH WITH ADHESIVE BORDER")</f>
        <v>SIMPURITY HYDROGEL DRESSING 2 X 2 INCH WITH ADHESIVE BORDER</v>
      </c>
      <c r="C100" s="10" t="str">
        <f>T("SAFE N SIMPLE LLC")</f>
        <v>SAFE N SIMPLE LLC</v>
      </c>
      <c r="D100" s="10" t="str">
        <f>T("SNS58312")</f>
        <v>SNS58312</v>
      </c>
      <c r="E100" s="10" t="str">
        <f>T("A6245")</f>
        <v>A6245</v>
      </c>
      <c r="F100" s="10" t="str">
        <f>T("12/21/2017")</f>
        <v>12/21/2017</v>
      </c>
      <c r="G100" s="10" t="str">
        <f t="shared" si="21"/>
        <v/>
      </c>
      <c r="H100" s="10" t="str">
        <f t="shared" si="22"/>
        <v/>
      </c>
    </row>
    <row r="101" spans="1:8" ht="13.5" customHeight="1" x14ac:dyDescent="0.2">
      <c r="A101" s="9" t="s">
        <v>9</v>
      </c>
      <c r="B101" s="10" t="str">
        <f>T("BIATAIN SILICONE - POST-OPERATIVE DRESSING")</f>
        <v>BIATAIN SILICONE - POST-OPERATIVE DRESSING</v>
      </c>
      <c r="C101" s="10" t="str">
        <f>T("COLOPLAST CORP")</f>
        <v>COLOPLAST CORP</v>
      </c>
      <c r="D101" s="10" t="str">
        <f>T("33401")</f>
        <v>33401</v>
      </c>
      <c r="E101" s="10" t="str">
        <f>T("A6246")</f>
        <v>A6246</v>
      </c>
      <c r="F101" s="10" t="str">
        <f>T("12/01/2017")</f>
        <v>12/01/2017</v>
      </c>
      <c r="G101" s="10" t="str">
        <f t="shared" si="21"/>
        <v/>
      </c>
      <c r="H101" s="10" t="str">
        <f t="shared" si="22"/>
        <v/>
      </c>
    </row>
    <row r="102" spans="1:8" ht="13.5" customHeight="1" x14ac:dyDescent="0.2">
      <c r="A102" s="9" t="s">
        <v>9</v>
      </c>
      <c r="B102" s="10" t="str">
        <f>T("BIATAIN SILICONE - SACRAL")</f>
        <v>BIATAIN SILICONE - SACRAL</v>
      </c>
      <c r="C102" s="10" t="str">
        <f>T("COLOPLAST CORP")</f>
        <v>COLOPLAST CORP</v>
      </c>
      <c r="D102" s="10" t="str">
        <f>T("33404")</f>
        <v>33404</v>
      </c>
      <c r="E102" s="10" t="str">
        <f>T("A6246")</f>
        <v>A6246</v>
      </c>
      <c r="F102" s="10" t="str">
        <f>T("12/01/2017")</f>
        <v>12/01/2017</v>
      </c>
      <c r="G102" s="10" t="str">
        <f t="shared" si="21"/>
        <v/>
      </c>
      <c r="H102" s="10" t="str">
        <f t="shared" si="22"/>
        <v/>
      </c>
    </row>
    <row r="103" spans="1:8" ht="13.5" customHeight="1" x14ac:dyDescent="0.2">
      <c r="A103" s="9" t="s">
        <v>9</v>
      </c>
      <c r="B103" s="10" t="str">
        <f>T("BIATAIN SILICONE - SACRAL")</f>
        <v>BIATAIN SILICONE - SACRAL</v>
      </c>
      <c r="C103" s="10" t="str">
        <f>T("COLOPLAST CORP")</f>
        <v>COLOPLAST CORP</v>
      </c>
      <c r="D103" s="10" t="str">
        <f>T("33405")</f>
        <v>33405</v>
      </c>
      <c r="E103" s="10" t="str">
        <f>T("A6246")</f>
        <v>A6246</v>
      </c>
      <c r="F103" s="10" t="str">
        <f>T("12/01/2017")</f>
        <v>12/01/2017</v>
      </c>
      <c r="G103" s="10" t="str">
        <f t="shared" si="21"/>
        <v/>
      </c>
      <c r="H103" s="10" t="str">
        <f t="shared" si="22"/>
        <v/>
      </c>
    </row>
    <row r="104" spans="1:8" ht="13.5" customHeight="1" x14ac:dyDescent="0.2">
      <c r="A104" s="9" t="s">
        <v>10</v>
      </c>
      <c r="B104" s="5" t="str">
        <f>T("TIELLE PLUS SACRUM HYDROPOLYMER ADHESIVE DRESSING")</f>
        <v>TIELLE PLUS SACRUM HYDROPOLYMER ADHESIVE DRESSING</v>
      </c>
      <c r="C104" s="5" t="str">
        <f>T("ETHICON INC (A JOHNSON &amp; JOHNSON COMPANY)")</f>
        <v>ETHICON INC (A JOHNSON &amp; JOHNSON COMPANY)</v>
      </c>
      <c r="D104" s="5" t="str">
        <f>T("")</f>
        <v/>
      </c>
      <c r="E104" s="5" t="str">
        <f>T("A6254")</f>
        <v>A6254</v>
      </c>
      <c r="F104" s="5" t="str">
        <f>T("04/04/2002")</f>
        <v>04/04/2002</v>
      </c>
      <c r="G104" s="5" t="str">
        <f>T("12/27/2017")</f>
        <v>12/27/2017</v>
      </c>
      <c r="H104" s="5"/>
    </row>
    <row r="105" spans="1:8" ht="13.5" customHeight="1" x14ac:dyDescent="0.2">
      <c r="A105" s="9" t="s">
        <v>10</v>
      </c>
      <c r="B105" s="5" t="str">
        <f>T("IODOSORB")</f>
        <v>IODOSORB</v>
      </c>
      <c r="C105" s="5" t="str">
        <f>T("SMITH &amp; NEPHEW INC")</f>
        <v>SMITH &amp; NEPHEW INC</v>
      </c>
      <c r="D105" s="5" t="str">
        <f>T("6602125040")</f>
        <v>6602125040</v>
      </c>
      <c r="E105" s="5" t="str">
        <f>T("A6260")</f>
        <v>A6260</v>
      </c>
      <c r="F105" s="5" t="str">
        <f>T("09/07/2017")</f>
        <v>09/07/2017</v>
      </c>
      <c r="G105" s="5" t="str">
        <f>T("12/17/2017")</f>
        <v>12/17/2017</v>
      </c>
      <c r="H105" s="5"/>
    </row>
    <row r="106" spans="1:8" ht="13.5" customHeight="1" x14ac:dyDescent="0.2">
      <c r="A106" s="9" t="s">
        <v>10</v>
      </c>
      <c r="B106" s="5" t="str">
        <f>T("IODOSORB")</f>
        <v>IODOSORB</v>
      </c>
      <c r="C106" s="5" t="str">
        <f>T("SMITH &amp; NEPHEW INC")</f>
        <v>SMITH &amp; NEPHEW INC</v>
      </c>
      <c r="D106" s="5" t="str">
        <f>T("6602124014")</f>
        <v>6602124014</v>
      </c>
      <c r="E106" s="5" t="str">
        <f>T("A6260")</f>
        <v>A6260</v>
      </c>
      <c r="F106" s="5" t="str">
        <f>T("09/07/2017")</f>
        <v>09/07/2017</v>
      </c>
      <c r="G106" s="5" t="str">
        <f>T("12/17/2017")</f>
        <v>12/17/2017</v>
      </c>
      <c r="H106" s="5"/>
    </row>
    <row r="107" spans="1:8" ht="13.5" customHeight="1" x14ac:dyDescent="0.2">
      <c r="A107" s="9" t="s">
        <v>9</v>
      </c>
      <c r="B107" s="10" t="str">
        <f>T("IODOSORB")</f>
        <v>IODOSORB</v>
      </c>
      <c r="C107" s="10" t="str">
        <f>T("SMITH &amp; NEPHEW INC")</f>
        <v>SMITH &amp; NEPHEW INC</v>
      </c>
      <c r="D107" s="10" t="str">
        <f>T("6602125040")</f>
        <v>6602125040</v>
      </c>
      <c r="E107" s="10" t="str">
        <f>T("A6261")</f>
        <v>A6261</v>
      </c>
      <c r="F107" s="10" t="str">
        <f>T("12/18/2017")</f>
        <v>12/18/2017</v>
      </c>
      <c r="G107" s="10" t="str">
        <f t="shared" ref="G107:H109" si="23">T("")</f>
        <v/>
      </c>
      <c r="H107" s="10" t="str">
        <f t="shared" si="23"/>
        <v/>
      </c>
    </row>
    <row r="108" spans="1:8" ht="13.5" customHeight="1" x14ac:dyDescent="0.2">
      <c r="A108" s="9" t="s">
        <v>9</v>
      </c>
      <c r="B108" s="10" t="str">
        <f>T("IODOSORB")</f>
        <v>IODOSORB</v>
      </c>
      <c r="C108" s="10" t="str">
        <f>T("SMITH &amp; NEPHEW INC")</f>
        <v>SMITH &amp; NEPHEW INC</v>
      </c>
      <c r="D108" s="10" t="str">
        <f>T("6602124014")</f>
        <v>6602124014</v>
      </c>
      <c r="E108" s="10" t="str">
        <f>T("A6261")</f>
        <v>A6261</v>
      </c>
      <c r="F108" s="10" t="str">
        <f>T("12/18/2017")</f>
        <v>12/18/2017</v>
      </c>
      <c r="G108" s="10" t="str">
        <f t="shared" si="23"/>
        <v/>
      </c>
      <c r="H108" s="10" t="str">
        <f t="shared" si="23"/>
        <v/>
      </c>
    </row>
    <row r="109" spans="1:8" ht="13.5" customHeight="1" x14ac:dyDescent="0.2">
      <c r="A109" s="9" t="s">
        <v>9</v>
      </c>
      <c r="B109" s="10" t="str">
        <f>T("ADAPTIC NON-ADHERING DRESSING 3"" X 60"" ROLL")</f>
        <v>ADAPTIC NON-ADHERING DRESSING 3" X 60" ROLL</v>
      </c>
      <c r="C109" s="10" t="str">
        <f>T("KINETIC CONCEPTS INC")</f>
        <v>KINETIC CONCEPTS INC</v>
      </c>
      <c r="D109" s="10" t="str">
        <f>T("2018")</f>
        <v>2018</v>
      </c>
      <c r="E109" s="10" t="str">
        <f>T("A6266")</f>
        <v>A6266</v>
      </c>
      <c r="F109" s="10" t="str">
        <f>T("12/08/2017")</f>
        <v>12/08/2017</v>
      </c>
      <c r="G109" s="10" t="str">
        <f t="shared" si="23"/>
        <v/>
      </c>
      <c r="H109" s="10" t="str">
        <f t="shared" si="23"/>
        <v/>
      </c>
    </row>
    <row r="110" spans="1:8" ht="13.5" customHeight="1" x14ac:dyDescent="0.2">
      <c r="A110" s="9" t="s">
        <v>10</v>
      </c>
      <c r="B110" s="6" t="s">
        <v>22</v>
      </c>
      <c r="C110" s="6" t="s">
        <v>14</v>
      </c>
      <c r="D110" s="6"/>
      <c r="E110" s="6" t="s">
        <v>23</v>
      </c>
      <c r="F110" s="7">
        <v>36525</v>
      </c>
      <c r="G110" s="7">
        <v>43076</v>
      </c>
      <c r="H110" s="6"/>
    </row>
    <row r="111" spans="1:8" ht="13.5" customHeight="1" x14ac:dyDescent="0.2">
      <c r="A111" s="9" t="s">
        <v>9</v>
      </c>
      <c r="B111" s="10" t="str">
        <f>T("MEDVANCE SILICONE - BORDERED SILICONE FOAM DRESSING")</f>
        <v>MEDVANCE SILICONE - BORDERED SILICONE FOAM DRESSING</v>
      </c>
      <c r="C111" s="10" t="str">
        <f>T("MED WAY INC")</f>
        <v>MED WAY INC</v>
      </c>
      <c r="D111" s="10" t="str">
        <f>T("V3010205")</f>
        <v>V3010205</v>
      </c>
      <c r="E111" s="10" t="str">
        <f>T("A6413")</f>
        <v>A6413</v>
      </c>
      <c r="F111" s="10" t="str">
        <f>T("12/04/2017")</f>
        <v>12/04/2017</v>
      </c>
      <c r="G111" s="10" t="str">
        <f>T("")</f>
        <v/>
      </c>
      <c r="H111" s="10" t="str">
        <f>T("")</f>
        <v/>
      </c>
    </row>
    <row r="112" spans="1:8" ht="13.5" customHeight="1" x14ac:dyDescent="0.2">
      <c r="A112" s="9" t="s">
        <v>10</v>
      </c>
      <c r="B112" s="5" t="str">
        <f t="shared" ref="B112:B119" si="24">T("COMPREFLEX - LITE")</f>
        <v>COMPREFLEX - LITE</v>
      </c>
      <c r="C112" s="5" t="str">
        <f t="shared" ref="C112:C119" si="25">T("BIACARE CORP")</f>
        <v>BIACARE CORP</v>
      </c>
      <c r="D112" s="5" t="str">
        <f>T("1401-UC-BKR")</f>
        <v>1401-UC-BKR</v>
      </c>
      <c r="E112" s="5" t="str">
        <f t="shared" ref="E112:E119" si="26">T("A6545")</f>
        <v>A6545</v>
      </c>
      <c r="F112" s="7">
        <v>42081</v>
      </c>
      <c r="G112" s="7">
        <v>42610</v>
      </c>
      <c r="H112" s="5" t="str">
        <f t="shared" ref="H112:H119" si="27">T("MANUFACTURER DISCONTINUED PRODUCTION AS OF 08/28/16. BILLING ACCEPTABLE UNTIL EXPIRATION OF PRODUCT")</f>
        <v>MANUFACTURER DISCONTINUED PRODUCTION AS OF 08/28/16. BILLING ACCEPTABLE UNTIL EXPIRATION OF PRODUCT</v>
      </c>
    </row>
    <row r="113" spans="1:8" ht="13.5" customHeight="1" x14ac:dyDescent="0.2">
      <c r="A113" s="9" t="s">
        <v>10</v>
      </c>
      <c r="B113" s="5" t="str">
        <f t="shared" si="24"/>
        <v>COMPREFLEX - LITE</v>
      </c>
      <c r="C113" s="5" t="str">
        <f t="shared" si="25"/>
        <v>BIACARE CORP</v>
      </c>
      <c r="D113" s="5" t="str">
        <f>T("1405-UC-BKR")</f>
        <v>1405-UC-BKR</v>
      </c>
      <c r="E113" s="5" t="str">
        <f t="shared" si="26"/>
        <v>A6545</v>
      </c>
      <c r="F113" s="7">
        <v>42081</v>
      </c>
      <c r="G113" s="7">
        <v>42610</v>
      </c>
      <c r="H113" s="5" t="str">
        <f t="shared" si="27"/>
        <v>MANUFACTURER DISCONTINUED PRODUCTION AS OF 08/28/16. BILLING ACCEPTABLE UNTIL EXPIRATION OF PRODUCT</v>
      </c>
    </row>
    <row r="114" spans="1:8" ht="13.5" customHeight="1" x14ac:dyDescent="0.2">
      <c r="A114" s="9" t="s">
        <v>10</v>
      </c>
      <c r="B114" s="5" t="str">
        <f t="shared" si="24"/>
        <v>COMPREFLEX - LITE</v>
      </c>
      <c r="C114" s="5" t="str">
        <f t="shared" si="25"/>
        <v>BIACARE CORP</v>
      </c>
      <c r="D114" s="5" t="str">
        <f>T("1401-UC-BKT")</f>
        <v>1401-UC-BKT</v>
      </c>
      <c r="E114" s="5" t="str">
        <f t="shared" si="26"/>
        <v>A6545</v>
      </c>
      <c r="F114" s="7">
        <v>42081</v>
      </c>
      <c r="G114" s="7">
        <v>42610</v>
      </c>
      <c r="H114" s="5" t="str">
        <f t="shared" si="27"/>
        <v>MANUFACTURER DISCONTINUED PRODUCTION AS OF 08/28/16. BILLING ACCEPTABLE UNTIL EXPIRATION OF PRODUCT</v>
      </c>
    </row>
    <row r="115" spans="1:8" ht="13.5" customHeight="1" x14ac:dyDescent="0.2">
      <c r="A115" s="9" t="s">
        <v>10</v>
      </c>
      <c r="B115" s="5" t="str">
        <f t="shared" si="24"/>
        <v>COMPREFLEX - LITE</v>
      </c>
      <c r="C115" s="5" t="str">
        <f t="shared" si="25"/>
        <v>BIACARE CORP</v>
      </c>
      <c r="D115" s="5" t="str">
        <f>T("1404-UC-BKR")</f>
        <v>1404-UC-BKR</v>
      </c>
      <c r="E115" s="5" t="str">
        <f t="shared" si="26"/>
        <v>A6545</v>
      </c>
      <c r="F115" s="7">
        <v>42081</v>
      </c>
      <c r="G115" s="7">
        <v>42610</v>
      </c>
      <c r="H115" s="5" t="str">
        <f t="shared" si="27"/>
        <v>MANUFACTURER DISCONTINUED PRODUCTION AS OF 08/28/16. BILLING ACCEPTABLE UNTIL EXPIRATION OF PRODUCT</v>
      </c>
    </row>
    <row r="116" spans="1:8" ht="13.5" customHeight="1" x14ac:dyDescent="0.2">
      <c r="A116" s="9" t="s">
        <v>10</v>
      </c>
      <c r="B116" s="5" t="str">
        <f t="shared" si="24"/>
        <v>COMPREFLEX - LITE</v>
      </c>
      <c r="C116" s="5" t="str">
        <f t="shared" si="25"/>
        <v>BIACARE CORP</v>
      </c>
      <c r="D116" s="5" t="str">
        <f>T("1402-UC-BKT")</f>
        <v>1402-UC-BKT</v>
      </c>
      <c r="E116" s="5" t="str">
        <f t="shared" si="26"/>
        <v>A6545</v>
      </c>
      <c r="F116" s="7">
        <v>42081</v>
      </c>
      <c r="G116" s="7">
        <v>42610</v>
      </c>
      <c r="H116" s="5" t="str">
        <f t="shared" si="27"/>
        <v>MANUFACTURER DISCONTINUED PRODUCTION AS OF 08/28/16. BILLING ACCEPTABLE UNTIL EXPIRATION OF PRODUCT</v>
      </c>
    </row>
    <row r="117" spans="1:8" ht="13.5" customHeight="1" x14ac:dyDescent="0.2">
      <c r="A117" s="9" t="s">
        <v>10</v>
      </c>
      <c r="B117" s="5" t="str">
        <f t="shared" si="24"/>
        <v>COMPREFLEX - LITE</v>
      </c>
      <c r="C117" s="5" t="str">
        <f t="shared" si="25"/>
        <v>BIACARE CORP</v>
      </c>
      <c r="D117" s="5" t="str">
        <f>T("1405-UC-BKT")</f>
        <v>1405-UC-BKT</v>
      </c>
      <c r="E117" s="5" t="str">
        <f t="shared" si="26"/>
        <v>A6545</v>
      </c>
      <c r="F117" s="7">
        <v>42081</v>
      </c>
      <c r="G117" s="7">
        <v>42610</v>
      </c>
      <c r="H117" s="5" t="str">
        <f t="shared" si="27"/>
        <v>MANUFACTURER DISCONTINUED PRODUCTION AS OF 08/28/16. BILLING ACCEPTABLE UNTIL EXPIRATION OF PRODUCT</v>
      </c>
    </row>
    <row r="118" spans="1:8" ht="13.5" customHeight="1" x14ac:dyDescent="0.2">
      <c r="A118" s="9" t="s">
        <v>10</v>
      </c>
      <c r="B118" s="5" t="str">
        <f t="shared" si="24"/>
        <v>COMPREFLEX - LITE</v>
      </c>
      <c r="C118" s="5" t="str">
        <f t="shared" si="25"/>
        <v>BIACARE CORP</v>
      </c>
      <c r="D118" s="5" t="str">
        <f>T("1403-UC-BKT")</f>
        <v>1403-UC-BKT</v>
      </c>
      <c r="E118" s="5" t="str">
        <f t="shared" si="26"/>
        <v>A6545</v>
      </c>
      <c r="F118" s="7">
        <v>42081</v>
      </c>
      <c r="G118" s="7">
        <v>42610</v>
      </c>
      <c r="H118" s="5" t="str">
        <f t="shared" si="27"/>
        <v>MANUFACTURER DISCONTINUED PRODUCTION AS OF 08/28/16. BILLING ACCEPTABLE UNTIL EXPIRATION OF PRODUCT</v>
      </c>
    </row>
    <row r="119" spans="1:8" ht="13.5" customHeight="1" x14ac:dyDescent="0.2">
      <c r="A119" s="9" t="s">
        <v>10</v>
      </c>
      <c r="B119" s="5" t="str">
        <f t="shared" si="24"/>
        <v>COMPREFLEX - LITE</v>
      </c>
      <c r="C119" s="5" t="str">
        <f t="shared" si="25"/>
        <v>BIACARE CORP</v>
      </c>
      <c r="D119" s="5" t="str">
        <f>T("1404-UC-BKT")</f>
        <v>1404-UC-BKT</v>
      </c>
      <c r="E119" s="5" t="str">
        <f t="shared" si="26"/>
        <v>A6545</v>
      </c>
      <c r="F119" s="7">
        <v>42081</v>
      </c>
      <c r="G119" s="7">
        <v>42610</v>
      </c>
      <c r="H119" s="5" t="str">
        <f t="shared" si="27"/>
        <v>MANUFACTURER DISCONTINUED PRODUCTION AS OF 08/28/16. BILLING ACCEPTABLE UNTIL EXPIRATION OF PRODUCT</v>
      </c>
    </row>
    <row r="120" spans="1:8" ht="13.5" customHeight="1" x14ac:dyDescent="0.2">
      <c r="A120" s="9" t="s">
        <v>9</v>
      </c>
      <c r="B120" s="10" t="str">
        <f>T("DOMUS AUTO PUMP")</f>
        <v>DOMUS AUTO PUMP</v>
      </c>
      <c r="C120" s="10" t="str">
        <f>T("APEX MEDICAL CORP")</f>
        <v>APEX MEDICAL CORP</v>
      </c>
      <c r="D120" s="10" t="str">
        <f>T("PD03001")</f>
        <v>PD03001</v>
      </c>
      <c r="E120" s="10" t="str">
        <f t="shared" ref="E120:E159" si="28">T("A9270")</f>
        <v>A9270</v>
      </c>
      <c r="F120" s="10" t="str">
        <f t="shared" ref="F120:F135" si="29">T("12/18/2017")</f>
        <v>12/18/2017</v>
      </c>
      <c r="G120" s="10" t="str">
        <f t="shared" ref="G120:H139" si="30">T("")</f>
        <v/>
      </c>
      <c r="H120" s="10" t="str">
        <f t="shared" si="30"/>
        <v/>
      </c>
    </row>
    <row r="121" spans="1:8" ht="13.5" customHeight="1" x14ac:dyDescent="0.2">
      <c r="A121" s="9" t="s">
        <v>9</v>
      </c>
      <c r="B121" s="10" t="str">
        <f>T("DOMUS AUTO 8"" REPLACEMENT MATTRESS WITH QUILTED MATTRESS COVER")</f>
        <v>DOMUS AUTO 8" REPLACEMENT MATTRESS WITH QUILTED MATTRESS COVER</v>
      </c>
      <c r="C121" s="10" t="str">
        <f>T("APEX MEDICAL CORP")</f>
        <v>APEX MEDICAL CORP</v>
      </c>
      <c r="D121" s="10" t="str">
        <f>T("PM09401")</f>
        <v>PM09401</v>
      </c>
      <c r="E121" s="10" t="str">
        <f t="shared" si="28"/>
        <v>A9270</v>
      </c>
      <c r="F121" s="10" t="str">
        <f t="shared" si="29"/>
        <v>12/18/2017</v>
      </c>
      <c r="G121" s="10" t="str">
        <f t="shared" si="30"/>
        <v/>
      </c>
      <c r="H121" s="10" t="str">
        <f t="shared" si="30"/>
        <v/>
      </c>
    </row>
    <row r="122" spans="1:8" ht="13.5" customHeight="1" x14ac:dyDescent="0.2">
      <c r="A122" s="9" t="s">
        <v>9</v>
      </c>
      <c r="B122" s="10" t="str">
        <f>T("DOMUS AUTO 8"" REPLACEMENT MATTRESS WITH NON-QUILTED MATTRESS COVER")</f>
        <v>DOMUS AUTO 8" REPLACEMENT MATTRESS WITH NON-QUILTED MATTRESS COVER</v>
      </c>
      <c r="C122" s="10" t="str">
        <f>T("APEX MEDICAL CORP")</f>
        <v>APEX MEDICAL CORP</v>
      </c>
      <c r="D122" s="10" t="str">
        <f>T("PM09402")</f>
        <v>PM09402</v>
      </c>
      <c r="E122" s="10" t="str">
        <f t="shared" si="28"/>
        <v>A9270</v>
      </c>
      <c r="F122" s="10" t="str">
        <f t="shared" si="29"/>
        <v>12/18/2017</v>
      </c>
      <c r="G122" s="10" t="str">
        <f t="shared" si="30"/>
        <v/>
      </c>
      <c r="H122" s="10" t="str">
        <f t="shared" si="30"/>
        <v/>
      </c>
    </row>
    <row r="123" spans="1:8" ht="13.5" customHeight="1" x14ac:dyDescent="0.2">
      <c r="A123" s="9" t="s">
        <v>9</v>
      </c>
      <c r="B123" s="10" t="str">
        <f>T("ASD ANTERIOR ORAL APPLIANCE")</f>
        <v>ASD ANTERIOR ORAL APPLIANCE</v>
      </c>
      <c r="C123" s="10" t="str">
        <f>T("AMERICAN SLEEP DENTISTRY")</f>
        <v>AMERICAN SLEEP DENTISTRY</v>
      </c>
      <c r="D123" s="10" t="str">
        <f>T("ASD-AOA")</f>
        <v>ASD-AOA</v>
      </c>
      <c r="E123" s="10" t="str">
        <f t="shared" si="28"/>
        <v>A9270</v>
      </c>
      <c r="F123" s="10" t="str">
        <f t="shared" si="29"/>
        <v>12/18/2017</v>
      </c>
      <c r="G123" s="10" t="str">
        <f t="shared" si="30"/>
        <v/>
      </c>
      <c r="H123" s="10" t="str">
        <f t="shared" si="30"/>
        <v/>
      </c>
    </row>
    <row r="124" spans="1:8" ht="13.5" customHeight="1" x14ac:dyDescent="0.2">
      <c r="A124" s="9" t="s">
        <v>9</v>
      </c>
      <c r="B124" s="10" t="str">
        <f>T("DOMUS AUTO PUMP AND 8"" REPLACEMENT MATTRESS WITH QUILTED MATTRESS COVER")</f>
        <v>DOMUS AUTO PUMP AND 8" REPLACEMENT MATTRESS WITH QUILTED MATTRESS COVER</v>
      </c>
      <c r="C124" s="10" t="str">
        <f t="shared" ref="C124:C152" si="31">T("APEX MEDICAL CORP")</f>
        <v>APEX MEDICAL CORP</v>
      </c>
      <c r="D124" s="10" t="str">
        <f>T("PD03501")</f>
        <v>PD03501</v>
      </c>
      <c r="E124" s="10" t="str">
        <f t="shared" si="28"/>
        <v>A9270</v>
      </c>
      <c r="F124" s="10" t="str">
        <f t="shared" si="29"/>
        <v>12/18/2017</v>
      </c>
      <c r="G124" s="10" t="str">
        <f t="shared" si="30"/>
        <v/>
      </c>
      <c r="H124" s="10" t="str">
        <f t="shared" si="30"/>
        <v/>
      </c>
    </row>
    <row r="125" spans="1:8" ht="13.5" customHeight="1" x14ac:dyDescent="0.2">
      <c r="A125" s="9" t="s">
        <v>9</v>
      </c>
      <c r="B125" s="10" t="str">
        <f>T("DOMUS AUTO PUMP AND 8"" REPLACEMENT MATTRESS WITH NON-QUILTED MATTRESS COVER")</f>
        <v>DOMUS AUTO PUMP AND 8" REPLACEMENT MATTRESS WITH NON-QUILTED MATTRESS COVER</v>
      </c>
      <c r="C125" s="10" t="str">
        <f t="shared" si="31"/>
        <v>APEX MEDICAL CORP</v>
      </c>
      <c r="D125" s="10" t="str">
        <f>T("PD03502")</f>
        <v>PD03502</v>
      </c>
      <c r="E125" s="10" t="str">
        <f t="shared" si="28"/>
        <v>A9270</v>
      </c>
      <c r="F125" s="10" t="str">
        <f t="shared" si="29"/>
        <v>12/18/2017</v>
      </c>
      <c r="G125" s="10" t="str">
        <f t="shared" si="30"/>
        <v/>
      </c>
      <c r="H125" s="10" t="str">
        <f t="shared" si="30"/>
        <v/>
      </c>
    </row>
    <row r="126" spans="1:8" ht="13.5" customHeight="1" x14ac:dyDescent="0.2">
      <c r="A126" s="9" t="s">
        <v>9</v>
      </c>
      <c r="B126" s="10" t="str">
        <f>T("DOMUS 4 PUMP AND 8"" REPLACEMENT MATTRESS WITH QUILTED MATTRESS COVER")</f>
        <v>DOMUS 4 PUMP AND 8" REPLACEMENT MATTRESS WITH QUILTED MATTRESS COVER</v>
      </c>
      <c r="C126" s="10" t="str">
        <f t="shared" si="31"/>
        <v>APEX MEDICAL CORP</v>
      </c>
      <c r="D126" s="10" t="str">
        <f>T("PD02501")</f>
        <v>PD02501</v>
      </c>
      <c r="E126" s="10" t="str">
        <f t="shared" si="28"/>
        <v>A9270</v>
      </c>
      <c r="F126" s="10" t="str">
        <f t="shared" si="29"/>
        <v>12/18/2017</v>
      </c>
      <c r="G126" s="10" t="str">
        <f t="shared" si="30"/>
        <v/>
      </c>
      <c r="H126" s="10" t="str">
        <f t="shared" si="30"/>
        <v/>
      </c>
    </row>
    <row r="127" spans="1:8" ht="13.5" customHeight="1" x14ac:dyDescent="0.2">
      <c r="A127" s="9" t="s">
        <v>9</v>
      </c>
      <c r="B127" s="10" t="str">
        <f>T("DOMUS 4 PUMP AND 8"" REPLACEMENT MATTRESS WITH NON-QUILTED MATTRESS COVER")</f>
        <v>DOMUS 4 PUMP AND 8" REPLACEMENT MATTRESS WITH NON-QUILTED MATTRESS COVER</v>
      </c>
      <c r="C127" s="10" t="str">
        <f t="shared" si="31"/>
        <v>APEX MEDICAL CORP</v>
      </c>
      <c r="D127" s="10" t="str">
        <f>T("PD02502")</f>
        <v>PD02502</v>
      </c>
      <c r="E127" s="10" t="str">
        <f t="shared" si="28"/>
        <v>A9270</v>
      </c>
      <c r="F127" s="10" t="str">
        <f t="shared" si="29"/>
        <v>12/18/2017</v>
      </c>
      <c r="G127" s="10" t="str">
        <f t="shared" si="30"/>
        <v/>
      </c>
      <c r="H127" s="10" t="str">
        <f t="shared" si="30"/>
        <v/>
      </c>
    </row>
    <row r="128" spans="1:8" ht="13.5" customHeight="1" x14ac:dyDescent="0.2">
      <c r="A128" s="9" t="s">
        <v>9</v>
      </c>
      <c r="B128" s="10" t="str">
        <f>T("DOMUS 4 PUMP")</f>
        <v>DOMUS 4 PUMP</v>
      </c>
      <c r="C128" s="10" t="str">
        <f t="shared" si="31"/>
        <v>APEX MEDICAL CORP</v>
      </c>
      <c r="D128" s="10" t="str">
        <f>T("PD02001")</f>
        <v>PD02001</v>
      </c>
      <c r="E128" s="10" t="str">
        <f t="shared" si="28"/>
        <v>A9270</v>
      </c>
      <c r="F128" s="10" t="str">
        <f t="shared" si="29"/>
        <v>12/18/2017</v>
      </c>
      <c r="G128" s="10" t="str">
        <f t="shared" si="30"/>
        <v/>
      </c>
      <c r="H128" s="10" t="str">
        <f t="shared" si="30"/>
        <v/>
      </c>
    </row>
    <row r="129" spans="1:8" ht="13.5" customHeight="1" x14ac:dyDescent="0.2">
      <c r="A129" s="9" t="s">
        <v>9</v>
      </c>
      <c r="B129" s="10" t="str">
        <f>T("DOMUS 4 8"" REPLACEMENT MATTRESS WITH QUILTED MATTRESS COVER")</f>
        <v>DOMUS 4 8" REPLACEMENT MATTRESS WITH QUILTED MATTRESS COVER</v>
      </c>
      <c r="C129" s="10" t="str">
        <f t="shared" si="31"/>
        <v>APEX MEDICAL CORP</v>
      </c>
      <c r="D129" s="10" t="str">
        <f>T("PM09403")</f>
        <v>PM09403</v>
      </c>
      <c r="E129" s="10" t="str">
        <f t="shared" si="28"/>
        <v>A9270</v>
      </c>
      <c r="F129" s="10" t="str">
        <f t="shared" si="29"/>
        <v>12/18/2017</v>
      </c>
      <c r="G129" s="10" t="str">
        <f t="shared" si="30"/>
        <v/>
      </c>
      <c r="H129" s="10" t="str">
        <f t="shared" si="30"/>
        <v/>
      </c>
    </row>
    <row r="130" spans="1:8" ht="13.5" customHeight="1" x14ac:dyDescent="0.2">
      <c r="A130" s="9" t="s">
        <v>9</v>
      </c>
      <c r="B130" s="10" t="str">
        <f>T("DOMUS 4 8"" REPLACEMENT MATTRESS WITH NON-QUILTED MATTRESS COVER")</f>
        <v>DOMUS 4 8" REPLACEMENT MATTRESS WITH NON-QUILTED MATTRESS COVER</v>
      </c>
      <c r="C130" s="10" t="str">
        <f t="shared" si="31"/>
        <v>APEX MEDICAL CORP</v>
      </c>
      <c r="D130" s="10" t="str">
        <f>T("PM09404")</f>
        <v>PM09404</v>
      </c>
      <c r="E130" s="10" t="str">
        <f t="shared" si="28"/>
        <v>A9270</v>
      </c>
      <c r="F130" s="10" t="str">
        <f t="shared" si="29"/>
        <v>12/18/2017</v>
      </c>
      <c r="G130" s="10" t="str">
        <f t="shared" si="30"/>
        <v/>
      </c>
      <c r="H130" s="10" t="str">
        <f t="shared" si="30"/>
        <v/>
      </c>
    </row>
    <row r="131" spans="1:8" ht="13.5" customHeight="1" x14ac:dyDescent="0.2">
      <c r="A131" s="9" t="s">
        <v>9</v>
      </c>
      <c r="B131" s="10" t="str">
        <f>T("DOMUS 3 PUMP AND 8"" REPLACEMENT MATTRESS WITH QUILTED MATTRESS COVER")</f>
        <v>DOMUS 3 PUMP AND 8" REPLACEMENT MATTRESS WITH QUILTED MATTRESS COVER</v>
      </c>
      <c r="C131" s="10" t="str">
        <f t="shared" si="31"/>
        <v>APEX MEDICAL CORP</v>
      </c>
      <c r="D131" s="10" t="str">
        <f>T("PA01501")</f>
        <v>PA01501</v>
      </c>
      <c r="E131" s="10" t="str">
        <f t="shared" si="28"/>
        <v>A9270</v>
      </c>
      <c r="F131" s="10" t="str">
        <f t="shared" si="29"/>
        <v>12/18/2017</v>
      </c>
      <c r="G131" s="10" t="str">
        <f t="shared" si="30"/>
        <v/>
      </c>
      <c r="H131" s="10" t="str">
        <f t="shared" si="30"/>
        <v/>
      </c>
    </row>
    <row r="132" spans="1:8" ht="13.5" customHeight="1" x14ac:dyDescent="0.2">
      <c r="A132" s="9" t="s">
        <v>9</v>
      </c>
      <c r="B132" s="10" t="str">
        <f>T("DOMUS 3 PUMP AND 8"" REPLACEMENT MATTRESS WITH NON-QUILTED MATTRESS COVER")</f>
        <v>DOMUS 3 PUMP AND 8" REPLACEMENT MATTRESS WITH NON-QUILTED MATTRESS COVER</v>
      </c>
      <c r="C132" s="10" t="str">
        <f t="shared" si="31"/>
        <v>APEX MEDICAL CORP</v>
      </c>
      <c r="D132" s="10" t="str">
        <f>T("PA01502")</f>
        <v>PA01502</v>
      </c>
      <c r="E132" s="10" t="str">
        <f t="shared" si="28"/>
        <v>A9270</v>
      </c>
      <c r="F132" s="10" t="str">
        <f t="shared" si="29"/>
        <v>12/18/2017</v>
      </c>
      <c r="G132" s="10" t="str">
        <f t="shared" si="30"/>
        <v/>
      </c>
      <c r="H132" s="10" t="str">
        <f t="shared" si="30"/>
        <v/>
      </c>
    </row>
    <row r="133" spans="1:8" ht="13.5" customHeight="1" x14ac:dyDescent="0.2">
      <c r="A133" s="9" t="s">
        <v>9</v>
      </c>
      <c r="B133" s="10" t="str">
        <f>T("DOMUS 3 PUMP FOR 8"" REPLACEMENT MATTRESS")</f>
        <v>DOMUS 3 PUMP FOR 8" REPLACEMENT MATTRESS</v>
      </c>
      <c r="C133" s="10" t="str">
        <f t="shared" si="31"/>
        <v>APEX MEDICAL CORP</v>
      </c>
      <c r="D133" s="10" t="str">
        <f>T("PA01001")</f>
        <v>PA01001</v>
      </c>
      <c r="E133" s="10" t="str">
        <f t="shared" si="28"/>
        <v>A9270</v>
      </c>
      <c r="F133" s="10" t="str">
        <f t="shared" si="29"/>
        <v>12/18/2017</v>
      </c>
      <c r="G133" s="10" t="str">
        <f t="shared" si="30"/>
        <v/>
      </c>
      <c r="H133" s="10" t="str">
        <f t="shared" si="30"/>
        <v/>
      </c>
    </row>
    <row r="134" spans="1:8" ht="13.5" customHeight="1" x14ac:dyDescent="0.2">
      <c r="A134" s="9" t="s">
        <v>9</v>
      </c>
      <c r="B134" s="10" t="str">
        <f>T("DOMUS 3 8"" REPLACEMENT MATTRESS WITH QUILTED MATTRESS COVER")</f>
        <v>DOMUS 3 8" REPLACEMENT MATTRESS WITH QUILTED MATTRESS COVER</v>
      </c>
      <c r="C134" s="10" t="str">
        <f t="shared" si="31"/>
        <v>APEX MEDICAL CORP</v>
      </c>
      <c r="D134" s="10" t="str">
        <f>T("PM09405")</f>
        <v>PM09405</v>
      </c>
      <c r="E134" s="10" t="str">
        <f t="shared" si="28"/>
        <v>A9270</v>
      </c>
      <c r="F134" s="10" t="str">
        <f t="shared" si="29"/>
        <v>12/18/2017</v>
      </c>
      <c r="G134" s="10" t="str">
        <f t="shared" si="30"/>
        <v/>
      </c>
      <c r="H134" s="10" t="str">
        <f t="shared" si="30"/>
        <v/>
      </c>
    </row>
    <row r="135" spans="1:8" ht="13.5" customHeight="1" x14ac:dyDescent="0.2">
      <c r="A135" s="9" t="s">
        <v>9</v>
      </c>
      <c r="B135" s="10" t="str">
        <f>T("DOMUS 3 8"" REPLACEMENT MATTRESS WITH NON-QUILTED MATTRESS")</f>
        <v>DOMUS 3 8" REPLACEMENT MATTRESS WITH NON-QUILTED MATTRESS</v>
      </c>
      <c r="C135" s="10" t="str">
        <f t="shared" si="31"/>
        <v>APEX MEDICAL CORP</v>
      </c>
      <c r="D135" s="10" t="str">
        <f>T("PM09406")</f>
        <v>PM09406</v>
      </c>
      <c r="E135" s="10" t="str">
        <f t="shared" si="28"/>
        <v>A9270</v>
      </c>
      <c r="F135" s="10" t="str">
        <f t="shared" si="29"/>
        <v>12/18/2017</v>
      </c>
      <c r="G135" s="10" t="str">
        <f t="shared" si="30"/>
        <v/>
      </c>
      <c r="H135" s="10" t="str">
        <f t="shared" si="30"/>
        <v/>
      </c>
    </row>
    <row r="136" spans="1:8" ht="13.5" customHeight="1" x14ac:dyDescent="0.2">
      <c r="A136" s="9" t="s">
        <v>9</v>
      </c>
      <c r="B136" s="10" t="str">
        <f>T("SERENE PUMP AND 8"" MATTRESS WITH QUILTED MATTRESS COVER WIDTH 42""")</f>
        <v>SERENE PUMP AND 8" MATTRESS WITH QUILTED MATTRESS COVER WIDTH 42"</v>
      </c>
      <c r="C136" s="10" t="str">
        <f t="shared" si="31"/>
        <v>APEX MEDICAL CORP</v>
      </c>
      <c r="D136" s="10" t="str">
        <f>T("PL01603")</f>
        <v>PL01603</v>
      </c>
      <c r="E136" s="10" t="str">
        <f t="shared" si="28"/>
        <v>A9270</v>
      </c>
      <c r="F136" s="10" t="str">
        <f>T("12/21/2017")</f>
        <v>12/21/2017</v>
      </c>
      <c r="G136" s="10" t="str">
        <f t="shared" si="30"/>
        <v/>
      </c>
      <c r="H136" s="10" t="str">
        <f t="shared" si="30"/>
        <v/>
      </c>
    </row>
    <row r="137" spans="1:8" ht="13.5" customHeight="1" x14ac:dyDescent="0.2">
      <c r="A137" s="9" t="s">
        <v>9</v>
      </c>
      <c r="B137" s="10" t="str">
        <f>T("SERENE PUMP AND 8"" MATTRESS WITH NON-QUILTED MATTRESS COVER WIDTH 42""")</f>
        <v>SERENE PUMP AND 8" MATTRESS WITH NON-QUILTED MATTRESS COVER WIDTH 42"</v>
      </c>
      <c r="C137" s="10" t="str">
        <f t="shared" si="31"/>
        <v>APEX MEDICAL CORP</v>
      </c>
      <c r="D137" s="10" t="str">
        <f>T("PL01604")</f>
        <v>PL01604</v>
      </c>
      <c r="E137" s="10" t="str">
        <f t="shared" si="28"/>
        <v>A9270</v>
      </c>
      <c r="F137" s="10" t="str">
        <f>T("12/21/2017")</f>
        <v>12/21/2017</v>
      </c>
      <c r="G137" s="10" t="str">
        <f t="shared" si="30"/>
        <v/>
      </c>
      <c r="H137" s="10" t="str">
        <f t="shared" si="30"/>
        <v/>
      </c>
    </row>
    <row r="138" spans="1:8" ht="13.5" customHeight="1" x14ac:dyDescent="0.2">
      <c r="A138" s="9" t="s">
        <v>9</v>
      </c>
      <c r="B138" s="10" t="str">
        <f>T("SERENE 8"" MATTRESS WITH QUILTED MATTRESS COVER WIDTH 42""")</f>
        <v>SERENE 8" MATTRESS WITH QUILTED MATTRESS COVER WIDTH 42"</v>
      </c>
      <c r="C138" s="10" t="str">
        <f t="shared" si="31"/>
        <v>APEX MEDICAL CORP</v>
      </c>
      <c r="D138" s="10" t="str">
        <f>T("PM10501")</f>
        <v>PM10501</v>
      </c>
      <c r="E138" s="10" t="str">
        <f t="shared" si="28"/>
        <v>A9270</v>
      </c>
      <c r="F138" s="10" t="str">
        <f>T("12/21/2017")</f>
        <v>12/21/2017</v>
      </c>
      <c r="G138" s="10" t="str">
        <f t="shared" si="30"/>
        <v/>
      </c>
      <c r="H138" s="10" t="str">
        <f t="shared" si="30"/>
        <v/>
      </c>
    </row>
    <row r="139" spans="1:8" ht="13.5" customHeight="1" x14ac:dyDescent="0.2">
      <c r="A139" s="9" t="s">
        <v>9</v>
      </c>
      <c r="B139" s="10" t="str">
        <f>T("SERENE 8"" MATTRESS WITH NON-QUILTED MATTRESS COVER WIDTH 42""")</f>
        <v>SERENE 8" MATTRESS WITH NON-QUILTED MATTRESS COVER WIDTH 42"</v>
      </c>
      <c r="C139" s="10" t="str">
        <f t="shared" si="31"/>
        <v>APEX MEDICAL CORP</v>
      </c>
      <c r="D139" s="10" t="str">
        <f>T("PM10502")</f>
        <v>PM10502</v>
      </c>
      <c r="E139" s="10" t="str">
        <f t="shared" si="28"/>
        <v>A9270</v>
      </c>
      <c r="F139" s="10" t="str">
        <f>T("12/21/2017")</f>
        <v>12/21/2017</v>
      </c>
      <c r="G139" s="10" t="str">
        <f t="shared" si="30"/>
        <v/>
      </c>
      <c r="H139" s="10" t="str">
        <f t="shared" si="30"/>
        <v/>
      </c>
    </row>
    <row r="140" spans="1:8" ht="13.5" customHeight="1" x14ac:dyDescent="0.2">
      <c r="A140" s="9" t="s">
        <v>9</v>
      </c>
      <c r="B140" s="10" t="str">
        <f>T("SERENE PUMP FOR 42"" &amp; 48"" WIDTH MATTRESS")</f>
        <v>SERENE PUMP FOR 42" &amp; 48" WIDTH MATTRESS</v>
      </c>
      <c r="C140" s="10" t="str">
        <f t="shared" si="31"/>
        <v>APEX MEDICAL CORP</v>
      </c>
      <c r="D140" s="10" t="str">
        <f>T("PL01002")</f>
        <v>PL01002</v>
      </c>
      <c r="E140" s="10" t="str">
        <f t="shared" si="28"/>
        <v>A9270</v>
      </c>
      <c r="F140" s="10" t="str">
        <f>T("12/21/2017")</f>
        <v>12/21/2017</v>
      </c>
      <c r="G140" s="10" t="str">
        <f t="shared" ref="G140:H157" si="32">T("")</f>
        <v/>
      </c>
      <c r="H140" s="10" t="str">
        <f t="shared" si="32"/>
        <v/>
      </c>
    </row>
    <row r="141" spans="1:8" ht="13.5" customHeight="1" x14ac:dyDescent="0.2">
      <c r="A141" s="9" t="s">
        <v>9</v>
      </c>
      <c r="B141" s="10" t="str">
        <f>T("DOMUS 1 PUMP AND 2.5"" BUBBLE PAD OVERLAY")</f>
        <v>DOMUS 1 PUMP AND 2.5" BUBBLE PAD OVERLAY</v>
      </c>
      <c r="C141" s="10" t="str">
        <f t="shared" si="31"/>
        <v>APEX MEDICAL CORP</v>
      </c>
      <c r="D141" s="10" t="str">
        <f>T("PP01101")</f>
        <v>PP01101</v>
      </c>
      <c r="E141" s="10" t="str">
        <f t="shared" si="28"/>
        <v>A9270</v>
      </c>
      <c r="F141" s="10" t="str">
        <f>T("12/26/2017")</f>
        <v>12/26/2017</v>
      </c>
      <c r="G141" s="10" t="str">
        <f t="shared" si="32"/>
        <v/>
      </c>
      <c r="H141" s="10" t="str">
        <f t="shared" si="32"/>
        <v/>
      </c>
    </row>
    <row r="142" spans="1:8" ht="13.5" customHeight="1" x14ac:dyDescent="0.2">
      <c r="A142" s="9" t="s">
        <v>9</v>
      </c>
      <c r="B142" s="10" t="str">
        <f>T("DOMUS 1 PUMP")</f>
        <v>DOMUS 1 PUMP</v>
      </c>
      <c r="C142" s="10" t="str">
        <f t="shared" si="31"/>
        <v>APEX MEDICAL CORP</v>
      </c>
      <c r="D142" s="10" t="str">
        <f>T("PP01001")</f>
        <v>PP01001</v>
      </c>
      <c r="E142" s="10" t="str">
        <f t="shared" si="28"/>
        <v>A9270</v>
      </c>
      <c r="F142" s="10" t="str">
        <f>T("12/26/2017")</f>
        <v>12/26/2017</v>
      </c>
      <c r="G142" s="10" t="str">
        <f t="shared" si="32"/>
        <v/>
      </c>
      <c r="H142" s="10" t="str">
        <f t="shared" si="32"/>
        <v/>
      </c>
    </row>
    <row r="143" spans="1:8" ht="13.5" customHeight="1" x14ac:dyDescent="0.2">
      <c r="A143" s="9" t="s">
        <v>9</v>
      </c>
      <c r="B143" s="10" t="str">
        <f>T("DOMUS 1 2.5"" BUBBLE PAD OVERLAY")</f>
        <v>DOMUS 1 2.5" BUBBLE PAD OVERLAY</v>
      </c>
      <c r="C143" s="10" t="str">
        <f t="shared" si="31"/>
        <v>APEX MEDICAL CORP</v>
      </c>
      <c r="D143" s="10" t="str">
        <f>T("PM03401")</f>
        <v>PM03401</v>
      </c>
      <c r="E143" s="10" t="str">
        <f t="shared" si="28"/>
        <v>A9270</v>
      </c>
      <c r="F143" s="10" t="str">
        <f>T("12/26/2017")</f>
        <v>12/26/2017</v>
      </c>
      <c r="G143" s="10" t="str">
        <f t="shared" si="32"/>
        <v/>
      </c>
      <c r="H143" s="10" t="str">
        <f t="shared" si="32"/>
        <v/>
      </c>
    </row>
    <row r="144" spans="1:8" ht="13.5" customHeight="1" x14ac:dyDescent="0.2">
      <c r="A144" s="9" t="s">
        <v>9</v>
      </c>
      <c r="B144" s="10" t="str">
        <f>T("SERENE 8"" MATTRESS WITH NON-QUILTED MATTRESS COVER WIDTH 48""")</f>
        <v>SERENE 8" MATTRESS WITH NON-QUILTED MATTRESS COVER WIDTH 48"</v>
      </c>
      <c r="C144" s="10" t="str">
        <f t="shared" si="31"/>
        <v>APEX MEDICAL CORP</v>
      </c>
      <c r="D144" s="10" t="str">
        <f>T("PM10602")</f>
        <v>PM10602</v>
      </c>
      <c r="E144" s="10" t="str">
        <f t="shared" si="28"/>
        <v>A9270</v>
      </c>
      <c r="F144" s="10" t="str">
        <f t="shared" ref="F144:F152" si="33">T("12/28/2017")</f>
        <v>12/28/2017</v>
      </c>
      <c r="G144" s="10" t="str">
        <f t="shared" si="32"/>
        <v/>
      </c>
      <c r="H144" s="10" t="str">
        <f t="shared" si="32"/>
        <v/>
      </c>
    </row>
    <row r="145" spans="1:8" ht="13.5" customHeight="1" x14ac:dyDescent="0.2">
      <c r="A145" s="9" t="s">
        <v>9</v>
      </c>
      <c r="B145" s="10" t="str">
        <f>T("SERENE PUMP AND 8"" MATTRESS WITH QUILTED MATTRESS COVER WIDTH 48""")</f>
        <v>SERENE PUMP AND 8" MATTRESS WITH QUILTED MATTRESS COVER WIDTH 48"</v>
      </c>
      <c r="C145" s="10" t="str">
        <f t="shared" si="31"/>
        <v>APEX MEDICAL CORP</v>
      </c>
      <c r="D145" s="10" t="str">
        <f>T("PL01605")</f>
        <v>PL01605</v>
      </c>
      <c r="E145" s="10" t="str">
        <f t="shared" si="28"/>
        <v>A9270</v>
      </c>
      <c r="F145" s="10" t="str">
        <f t="shared" si="33"/>
        <v>12/28/2017</v>
      </c>
      <c r="G145" s="10" t="str">
        <f t="shared" si="32"/>
        <v/>
      </c>
      <c r="H145" s="10" t="str">
        <f t="shared" si="32"/>
        <v/>
      </c>
    </row>
    <row r="146" spans="1:8" ht="13.5" customHeight="1" x14ac:dyDescent="0.2">
      <c r="A146" s="9" t="s">
        <v>9</v>
      </c>
      <c r="B146" s="10" t="str">
        <f>T("SERENE PUMP AND 8"" MATTRESS WITH NON-QUILTED MATTRESS COVER WIDTH 48""")</f>
        <v>SERENE PUMP AND 8" MATTRESS WITH NON-QUILTED MATTRESS COVER WIDTH 48"</v>
      </c>
      <c r="C146" s="10" t="str">
        <f t="shared" si="31"/>
        <v>APEX MEDICAL CORP</v>
      </c>
      <c r="D146" s="10" t="str">
        <f>T("PL01606")</f>
        <v>PL01606</v>
      </c>
      <c r="E146" s="10" t="str">
        <f t="shared" si="28"/>
        <v>A9270</v>
      </c>
      <c r="F146" s="10" t="str">
        <f t="shared" si="33"/>
        <v>12/28/2017</v>
      </c>
      <c r="G146" s="10" t="str">
        <f t="shared" si="32"/>
        <v/>
      </c>
      <c r="H146" s="10" t="str">
        <f t="shared" si="32"/>
        <v/>
      </c>
    </row>
    <row r="147" spans="1:8" ht="13.5" customHeight="1" x14ac:dyDescent="0.2">
      <c r="A147" s="9" t="s">
        <v>9</v>
      </c>
      <c r="B147" s="10" t="str">
        <f>T("SERENE 8"" MATTRESS WITH QUILTED MATTRESS COVER WIDTH 48""")</f>
        <v>SERENE 8" MATTRESS WITH QUILTED MATTRESS COVER WIDTH 48"</v>
      </c>
      <c r="C147" s="10" t="str">
        <f t="shared" si="31"/>
        <v>APEX MEDICAL CORP</v>
      </c>
      <c r="D147" s="10" t="str">
        <f>T("PM10601")</f>
        <v>PM10601</v>
      </c>
      <c r="E147" s="10" t="str">
        <f t="shared" si="28"/>
        <v>A9270</v>
      </c>
      <c r="F147" s="10" t="str">
        <f t="shared" si="33"/>
        <v>12/28/2017</v>
      </c>
      <c r="G147" s="10" t="str">
        <f t="shared" si="32"/>
        <v/>
      </c>
      <c r="H147" s="10" t="str">
        <f t="shared" si="32"/>
        <v/>
      </c>
    </row>
    <row r="148" spans="1:8" ht="13.5" customHeight="1" x14ac:dyDescent="0.2">
      <c r="A148" s="9" t="s">
        <v>9</v>
      </c>
      <c r="B148" s="10" t="str">
        <f>T("SERENE 8"" MATTRESS WITH NON-QUILTED MATTRESS COVER WIDTH 36""")</f>
        <v>SERENE 8" MATTRESS WITH NON-QUILTED MATTRESS COVER WIDTH 36"</v>
      </c>
      <c r="C148" s="10" t="str">
        <f t="shared" si="31"/>
        <v>APEX MEDICAL CORP</v>
      </c>
      <c r="D148" s="10" t="str">
        <f>T("PM10402")</f>
        <v>PM10402</v>
      </c>
      <c r="E148" s="10" t="str">
        <f t="shared" si="28"/>
        <v>A9270</v>
      </c>
      <c r="F148" s="10" t="str">
        <f t="shared" si="33"/>
        <v>12/28/2017</v>
      </c>
      <c r="G148" s="10" t="str">
        <f t="shared" si="32"/>
        <v/>
      </c>
      <c r="H148" s="10" t="str">
        <f t="shared" si="32"/>
        <v/>
      </c>
    </row>
    <row r="149" spans="1:8" ht="13.5" customHeight="1" x14ac:dyDescent="0.2">
      <c r="A149" s="9" t="s">
        <v>9</v>
      </c>
      <c r="B149" s="10" t="str">
        <f>T("SERENE PUMP AND 8"" MATTRESS WITH QUILTED MATTRESS COVER WIDTH 36""")</f>
        <v>SERENE PUMP AND 8" MATTRESS WITH QUILTED MATTRESS COVER WIDTH 36"</v>
      </c>
      <c r="C149" s="10" t="str">
        <f t="shared" si="31"/>
        <v>APEX MEDICAL CORP</v>
      </c>
      <c r="D149" s="10" t="str">
        <f>T("PL01601")</f>
        <v>PL01601</v>
      </c>
      <c r="E149" s="10" t="str">
        <f t="shared" si="28"/>
        <v>A9270</v>
      </c>
      <c r="F149" s="10" t="str">
        <f t="shared" si="33"/>
        <v>12/28/2017</v>
      </c>
      <c r="G149" s="10" t="str">
        <f t="shared" si="32"/>
        <v/>
      </c>
      <c r="H149" s="10" t="str">
        <f t="shared" si="32"/>
        <v/>
      </c>
    </row>
    <row r="150" spans="1:8" ht="13.5" customHeight="1" x14ac:dyDescent="0.2">
      <c r="A150" s="9" t="s">
        <v>9</v>
      </c>
      <c r="B150" s="10" t="str">
        <f>T("SERENE PUMP AND 8"" MATTRESS WITH NON-QUILTED MATTRESS COVER WIDTH 36""")</f>
        <v>SERENE PUMP AND 8" MATTRESS WITH NON-QUILTED MATTRESS COVER WIDTH 36"</v>
      </c>
      <c r="C150" s="10" t="str">
        <f t="shared" si="31"/>
        <v>APEX MEDICAL CORP</v>
      </c>
      <c r="D150" s="10" t="str">
        <f>T("PL01602")</f>
        <v>PL01602</v>
      </c>
      <c r="E150" s="10" t="str">
        <f t="shared" si="28"/>
        <v>A9270</v>
      </c>
      <c r="F150" s="10" t="str">
        <f t="shared" si="33"/>
        <v>12/28/2017</v>
      </c>
      <c r="G150" s="10" t="str">
        <f t="shared" si="32"/>
        <v/>
      </c>
      <c r="H150" s="10" t="str">
        <f t="shared" si="32"/>
        <v/>
      </c>
    </row>
    <row r="151" spans="1:8" ht="13.5" customHeight="1" x14ac:dyDescent="0.2">
      <c r="A151" s="9" t="s">
        <v>9</v>
      </c>
      <c r="B151" s="10" t="str">
        <f>T("SERENE PUMP FOR 36"" WIDTH MATTRESS")</f>
        <v>SERENE PUMP FOR 36" WIDTH MATTRESS</v>
      </c>
      <c r="C151" s="10" t="str">
        <f t="shared" si="31"/>
        <v>APEX MEDICAL CORP</v>
      </c>
      <c r="D151" s="10" t="str">
        <f>T("PL01001")</f>
        <v>PL01001</v>
      </c>
      <c r="E151" s="10" t="str">
        <f t="shared" si="28"/>
        <v>A9270</v>
      </c>
      <c r="F151" s="10" t="str">
        <f t="shared" si="33"/>
        <v>12/28/2017</v>
      </c>
      <c r="G151" s="10" t="str">
        <f t="shared" si="32"/>
        <v/>
      </c>
      <c r="H151" s="10" t="str">
        <f t="shared" si="32"/>
        <v/>
      </c>
    </row>
    <row r="152" spans="1:8" ht="13.5" customHeight="1" x14ac:dyDescent="0.2">
      <c r="A152" s="9" t="s">
        <v>9</v>
      </c>
      <c r="B152" s="10" t="str">
        <f>T("SERENE 8"" MATTRESS WITH QUILTED MATTRESS COVER WIDTH 36""")</f>
        <v>SERENE 8" MATTRESS WITH QUILTED MATTRESS COVER WIDTH 36"</v>
      </c>
      <c r="C152" s="10" t="str">
        <f t="shared" si="31"/>
        <v>APEX MEDICAL CORP</v>
      </c>
      <c r="D152" s="10" t="str">
        <f>T("PM10401")</f>
        <v>PM10401</v>
      </c>
      <c r="E152" s="10" t="str">
        <f t="shared" si="28"/>
        <v>A9270</v>
      </c>
      <c r="F152" s="10" t="str">
        <f t="shared" si="33"/>
        <v>12/28/2017</v>
      </c>
      <c r="G152" s="10" t="str">
        <f t="shared" si="32"/>
        <v/>
      </c>
      <c r="H152" s="10" t="str">
        <f t="shared" si="32"/>
        <v/>
      </c>
    </row>
    <row r="153" spans="1:8" ht="13.5" customHeight="1" x14ac:dyDescent="0.2">
      <c r="A153" s="9" t="s">
        <v>9</v>
      </c>
      <c r="B153" s="10" t="str">
        <f>T("NARZIO-HI BLACK")</f>
        <v>NARZIO-HI BLACK</v>
      </c>
      <c r="C153" s="10" t="str">
        <f>T("NARZIO AMERICA LLC")</f>
        <v>NARZIO AMERICA LLC</v>
      </c>
      <c r="D153" s="10" t="str">
        <f>T("")</f>
        <v/>
      </c>
      <c r="E153" s="10" t="str">
        <f t="shared" si="28"/>
        <v>A9270</v>
      </c>
      <c r="F153" s="10" t="str">
        <f>T("12/29/2017")</f>
        <v>12/29/2017</v>
      </c>
      <c r="G153" s="10" t="str">
        <f t="shared" si="32"/>
        <v/>
      </c>
      <c r="H153" s="10" t="str">
        <f t="shared" si="32"/>
        <v/>
      </c>
    </row>
    <row r="154" spans="1:8" ht="13.5" customHeight="1" x14ac:dyDescent="0.2">
      <c r="A154" s="9" t="s">
        <v>9</v>
      </c>
      <c r="B154" s="10" t="str">
        <f>T("NARZIO-HI WHITE")</f>
        <v>NARZIO-HI WHITE</v>
      </c>
      <c r="C154" s="10" t="str">
        <f>T("NARZIO AMERICA LLC")</f>
        <v>NARZIO AMERICA LLC</v>
      </c>
      <c r="D154" s="10" t="str">
        <f>T("")</f>
        <v/>
      </c>
      <c r="E154" s="10" t="str">
        <f t="shared" si="28"/>
        <v>A9270</v>
      </c>
      <c r="F154" s="10" t="str">
        <f>T("12/29/2017")</f>
        <v>12/29/2017</v>
      </c>
      <c r="G154" s="10" t="str">
        <f t="shared" si="32"/>
        <v/>
      </c>
      <c r="H154" s="10" t="str">
        <f t="shared" si="32"/>
        <v/>
      </c>
    </row>
    <row r="155" spans="1:8" ht="13.5" customHeight="1" x14ac:dyDescent="0.2">
      <c r="A155" s="9" t="s">
        <v>9</v>
      </c>
      <c r="B155" s="10" t="str">
        <f>T("NARZIO-HI WINE")</f>
        <v>NARZIO-HI WINE</v>
      </c>
      <c r="C155" s="10" t="str">
        <f>T("NARZIO AMERICA LLC")</f>
        <v>NARZIO AMERICA LLC</v>
      </c>
      <c r="D155" s="10" t="str">
        <f>T("")</f>
        <v/>
      </c>
      <c r="E155" s="10" t="str">
        <f t="shared" si="28"/>
        <v>A9270</v>
      </c>
      <c r="F155" s="10" t="str">
        <f>T("12/29/2017")</f>
        <v>12/29/2017</v>
      </c>
      <c r="G155" s="10" t="str">
        <f t="shared" si="32"/>
        <v/>
      </c>
      <c r="H155" s="10" t="str">
        <f t="shared" si="32"/>
        <v/>
      </c>
    </row>
    <row r="156" spans="1:8" ht="13.5" customHeight="1" x14ac:dyDescent="0.2">
      <c r="A156" s="9" t="s">
        <v>9</v>
      </c>
      <c r="B156" s="10" t="str">
        <f>T("NARZIO-NEWRUN BLACK")</f>
        <v>NARZIO-NEWRUN BLACK</v>
      </c>
      <c r="C156" s="10" t="str">
        <f>T("NARZIO AMERICA LLC")</f>
        <v>NARZIO AMERICA LLC</v>
      </c>
      <c r="D156" s="10" t="str">
        <f>T("")</f>
        <v/>
      </c>
      <c r="E156" s="10" t="str">
        <f t="shared" si="28"/>
        <v>A9270</v>
      </c>
      <c r="F156" s="10" t="str">
        <f>T("12/29/2017")</f>
        <v>12/29/2017</v>
      </c>
      <c r="G156" s="10" t="str">
        <f t="shared" si="32"/>
        <v/>
      </c>
      <c r="H156" s="10" t="str">
        <f t="shared" si="32"/>
        <v/>
      </c>
    </row>
    <row r="157" spans="1:8" ht="13.5" customHeight="1" x14ac:dyDescent="0.2">
      <c r="A157" s="9" t="s">
        <v>9</v>
      </c>
      <c r="B157" s="10" t="str">
        <f>T("NARZIO-NEWRUN PINK")</f>
        <v>NARZIO-NEWRUN PINK</v>
      </c>
      <c r="C157" s="10" t="str">
        <f>T("NARZIO AMERICA LLC")</f>
        <v>NARZIO AMERICA LLC</v>
      </c>
      <c r="D157" s="10" t="str">
        <f>T("")</f>
        <v/>
      </c>
      <c r="E157" s="10" t="str">
        <f t="shared" si="28"/>
        <v>A9270</v>
      </c>
      <c r="F157" s="10" t="str">
        <f>T("12/29/2017")</f>
        <v>12/29/2017</v>
      </c>
      <c r="G157" s="10" t="str">
        <f t="shared" si="32"/>
        <v/>
      </c>
      <c r="H157" s="10" t="str">
        <f t="shared" si="32"/>
        <v/>
      </c>
    </row>
    <row r="158" spans="1:8" ht="13.5" customHeight="1" x14ac:dyDescent="0.2">
      <c r="A158" s="9" t="s">
        <v>10</v>
      </c>
      <c r="B158" s="5" t="str">
        <f>T("BARIATRIC WALKER")</f>
        <v>BARIATRIC WALKER</v>
      </c>
      <c r="C158" s="5" t="str">
        <f>T("DYNAREX CORP")</f>
        <v>DYNAREX CORP</v>
      </c>
      <c r="D158" s="5" t="str">
        <f>T("10165")</f>
        <v>10165</v>
      </c>
      <c r="E158" s="5" t="str">
        <f t="shared" si="28"/>
        <v>A9270</v>
      </c>
      <c r="F158" s="5" t="str">
        <f>T("10/03/2017")</f>
        <v>10/03/2017</v>
      </c>
      <c r="G158" s="5" t="str">
        <f>T("12/17/2017")</f>
        <v>12/17/2017</v>
      </c>
      <c r="H158" s="5"/>
    </row>
    <row r="159" spans="1:8" ht="13.5" customHeight="1" x14ac:dyDescent="0.2">
      <c r="A159" s="9" t="s">
        <v>10</v>
      </c>
      <c r="B159" s="5" t="str">
        <f>T("BARIATRIC WALKER WITH TWO FRONT WHEELS")</f>
        <v>BARIATRIC WALKER WITH TWO FRONT WHEELS</v>
      </c>
      <c r="C159" s="5" t="str">
        <f>T("DYNAREX CORP")</f>
        <v>DYNAREX CORP</v>
      </c>
      <c r="D159" s="5" t="str">
        <f>T("10166")</f>
        <v>10166</v>
      </c>
      <c r="E159" s="5" t="str">
        <f t="shared" si="28"/>
        <v>A9270</v>
      </c>
      <c r="F159" s="5" t="str">
        <f>T("10/03/2017")</f>
        <v>10/03/2017</v>
      </c>
      <c r="G159" s="5" t="str">
        <f>T("12/17/2017")</f>
        <v>12/17/2017</v>
      </c>
      <c r="H159" s="5"/>
    </row>
    <row r="160" spans="1:8" ht="13.5" customHeight="1" x14ac:dyDescent="0.2">
      <c r="A160" s="9" t="s">
        <v>10</v>
      </c>
      <c r="B160" s="6" t="s">
        <v>24</v>
      </c>
      <c r="C160" s="6" t="s">
        <v>25</v>
      </c>
      <c r="D160" s="8" t="s">
        <v>26</v>
      </c>
      <c r="E160" s="6" t="s">
        <v>7</v>
      </c>
      <c r="F160" s="7">
        <v>43019</v>
      </c>
      <c r="G160" s="7">
        <v>43089</v>
      </c>
      <c r="H160" s="6"/>
    </row>
    <row r="161" spans="1:8" ht="13.5" customHeight="1" x14ac:dyDescent="0.2">
      <c r="A161" s="9" t="s">
        <v>10</v>
      </c>
      <c r="B161" s="6" t="s">
        <v>27</v>
      </c>
      <c r="C161" s="6" t="s">
        <v>28</v>
      </c>
      <c r="D161" s="8" t="s">
        <v>29</v>
      </c>
      <c r="E161" s="6" t="s">
        <v>7</v>
      </c>
      <c r="F161" s="7">
        <v>43010</v>
      </c>
      <c r="G161" s="7">
        <v>43089</v>
      </c>
      <c r="H161" s="6"/>
    </row>
    <row r="162" spans="1:8" ht="13.5" customHeight="1" x14ac:dyDescent="0.2">
      <c r="A162" s="9" t="s">
        <v>10</v>
      </c>
      <c r="B162" s="5" t="str">
        <f>T("SAFE N SIMPLE SIMPURITY HYDROGEL DRESSING 2 X 2 INCH")</f>
        <v>SAFE N SIMPLE SIMPURITY HYDROGEL DRESSING 2 X 2 INCH</v>
      </c>
      <c r="C162" s="5" t="str">
        <f>T("SAFE N SIMPLE LLC")</f>
        <v>SAFE N SIMPLE LLC</v>
      </c>
      <c r="D162" s="5" t="str">
        <f>T("SNS58302")</f>
        <v>SNS58302</v>
      </c>
      <c r="E162" s="5" t="str">
        <f>T("A9270")</f>
        <v>A9270</v>
      </c>
      <c r="F162" s="5" t="str">
        <f>T("10/11/2017")</f>
        <v>10/11/2017</v>
      </c>
      <c r="G162" s="5" t="str">
        <f>T("12/27/2017")</f>
        <v>12/27/2017</v>
      </c>
      <c r="H162" s="5"/>
    </row>
    <row r="163" spans="1:8" ht="13.5" customHeight="1" x14ac:dyDescent="0.2">
      <c r="A163" s="9" t="s">
        <v>10</v>
      </c>
      <c r="B163" s="5" t="str">
        <f>T("DYNAMO SWING - LARGE")</f>
        <v>DYNAMO SWING - LARGE</v>
      </c>
      <c r="C163" s="5" t="str">
        <f>T("DYNAMD")</f>
        <v>DYNAMD</v>
      </c>
      <c r="D163" s="5" t="str">
        <f>T("DMS1-001")</f>
        <v>DMS1-001</v>
      </c>
      <c r="E163" s="5" t="str">
        <f>T("A9270")</f>
        <v>A9270</v>
      </c>
      <c r="F163" s="5" t="str">
        <f>T("09/05/2017")</f>
        <v>09/05/2017</v>
      </c>
      <c r="G163" s="5" t="str">
        <f>T("12/28/2017")</f>
        <v>12/28/2017</v>
      </c>
      <c r="H163" s="5"/>
    </row>
    <row r="164" spans="1:8" ht="13.5" customHeight="1" x14ac:dyDescent="0.2">
      <c r="A164" s="9" t="s">
        <v>10</v>
      </c>
      <c r="B164" s="5" t="str">
        <f>T("DYNAMO SWING - SMALL")</f>
        <v>DYNAMO SWING - SMALL</v>
      </c>
      <c r="C164" s="5" t="str">
        <f>T("DYNAMD")</f>
        <v>DYNAMD</v>
      </c>
      <c r="D164" s="5" t="str">
        <f>T("DMS1-002")</f>
        <v>DMS1-002</v>
      </c>
      <c r="E164" s="5" t="str">
        <f>T("A9270")</f>
        <v>A9270</v>
      </c>
      <c r="F164" s="5" t="str">
        <f>T("09/05/2017")</f>
        <v>09/05/2017</v>
      </c>
      <c r="G164" s="5" t="str">
        <f>T("12/28/2017")</f>
        <v>12/28/2017</v>
      </c>
      <c r="H164" s="5"/>
    </row>
    <row r="165" spans="1:8" ht="13.5" customHeight="1" x14ac:dyDescent="0.2">
      <c r="A165" s="9" t="s">
        <v>10</v>
      </c>
      <c r="B165" s="5" t="str">
        <f>T("DYNAMO VERSA")</f>
        <v>DYNAMO VERSA</v>
      </c>
      <c r="C165" s="5" t="str">
        <f>T("DYNAMD")</f>
        <v>DYNAMD</v>
      </c>
      <c r="D165" s="5" t="str">
        <f>T("DMV1-001")</f>
        <v>DMV1-001</v>
      </c>
      <c r="E165" s="5" t="str">
        <f>T("A9270")</f>
        <v>A9270</v>
      </c>
      <c r="F165" s="5" t="str">
        <f>T("09/05/2017")</f>
        <v>09/05/2017</v>
      </c>
      <c r="G165" s="5" t="str">
        <f>T("12/28/2017")</f>
        <v>12/28/2017</v>
      </c>
      <c r="H165" s="5"/>
    </row>
    <row r="166" spans="1:8" ht="13.5" customHeight="1" x14ac:dyDescent="0.2">
      <c r="A166" s="9" t="s">
        <v>9</v>
      </c>
      <c r="B166" s="10" t="str">
        <f>T("SEDENS 500 PUMP")</f>
        <v>SEDENS 500 PUMP</v>
      </c>
      <c r="C166" s="10" t="str">
        <f>T("APEX MEDICAL CORP")</f>
        <v>APEX MEDICAL CORP</v>
      </c>
      <c r="D166" s="10" t="str">
        <f>T("PD01001")</f>
        <v>PD01001</v>
      </c>
      <c r="E166" s="10" t="str">
        <f>T("A9900 OR A9999")</f>
        <v>A9900 OR A9999</v>
      </c>
      <c r="F166" s="10" t="str">
        <f>T("12/26/2017")</f>
        <v>12/26/2017</v>
      </c>
      <c r="G166" s="10" t="str">
        <f t="shared" ref="G166:G179" si="34">T("")</f>
        <v/>
      </c>
      <c r="H166" s="10" t="str">
        <f>T("USE A9900 FOR INITIAL ISSUE. USE A9999 FOR REPLACEMENT.")</f>
        <v>USE A9900 FOR INITIAL ISSUE. USE A9999 FOR REPLACEMENT.</v>
      </c>
    </row>
    <row r="167" spans="1:8" ht="13.5" customHeight="1" x14ac:dyDescent="0.2">
      <c r="A167" s="9" t="s">
        <v>9</v>
      </c>
      <c r="B167" s="10" t="str">
        <f>T("SEDENS 500 BATTERY POWERED ALTERNATING SEAT CUSHION 17"" X 17""")</f>
        <v>SEDENS 500 BATTERY POWERED ALTERNATING SEAT CUSHION 17" X 17"</v>
      </c>
      <c r="C167" s="10" t="str">
        <f>T("APEX MEDICAL CORP")</f>
        <v>APEX MEDICAL CORP</v>
      </c>
      <c r="D167" s="10" t="str">
        <f>T("PM02102")</f>
        <v>PM02102</v>
      </c>
      <c r="E167" s="10" t="str">
        <f>T("A9900 OR A9999")</f>
        <v>A9900 OR A9999</v>
      </c>
      <c r="F167" s="10" t="str">
        <f>T("12/26/2017")</f>
        <v>12/26/2017</v>
      </c>
      <c r="G167" s="10" t="str">
        <f t="shared" si="34"/>
        <v/>
      </c>
      <c r="H167" s="10" t="str">
        <f>T("USE A9900 FOR INITIAL ISSUE. USE A9999 FOR REPLACEMENT.")</f>
        <v>USE A9900 FOR INITIAL ISSUE. USE A9999 FOR REPLACEMENT.</v>
      </c>
    </row>
    <row r="168" spans="1:8" ht="13.5" customHeight="1" x14ac:dyDescent="0.2">
      <c r="A168" s="9" t="s">
        <v>9</v>
      </c>
      <c r="B168" s="10" t="str">
        <f>T("PKU AIR15 GOLD")</f>
        <v>PKU AIR15 GOLD</v>
      </c>
      <c r="C168" s="10" t="str">
        <f>T("VITAFLO USA LLC")</f>
        <v>VITAFLO USA LLC</v>
      </c>
      <c r="D168" s="10" t="str">
        <f>T("21667")</f>
        <v>21667</v>
      </c>
      <c r="E168" s="10" t="str">
        <f>T("B4157 OR B4162")</f>
        <v>B4157 OR B4162</v>
      </c>
      <c r="F168" s="10" t="str">
        <f>T("12/01/2017")</f>
        <v>12/01/2017</v>
      </c>
      <c r="G168" s="10" t="str">
        <f t="shared" si="34"/>
        <v/>
      </c>
      <c r="H168" s="10" t="str">
        <f>T("ADD THE BO MODIFIER TO THE HCPCS CODE IF THE ENTERAL NUTRITION IS BEING ADMINISTERED ORALLY AND IS NOT BEING ADMINISTERED BY A FEEDING TUBE")</f>
        <v>ADD THE BO MODIFIER TO THE HCPCS CODE IF THE ENTERAL NUTRITION IS BEING ADMINISTERED ORALLY AND IS NOT BEING ADMINISTERED BY A FEEDING TUBE</v>
      </c>
    </row>
    <row r="169" spans="1:8" ht="13.5" customHeight="1" x14ac:dyDescent="0.2">
      <c r="A169" s="9" t="s">
        <v>9</v>
      </c>
      <c r="B169" s="10" t="str">
        <f>T("PKU AIR15 GREEN")</f>
        <v>PKU AIR15 GREEN</v>
      </c>
      <c r="C169" s="10" t="str">
        <f>T("VITAFLO USA LLC")</f>
        <v>VITAFLO USA LLC</v>
      </c>
      <c r="D169" s="10" t="str">
        <f>T("21674")</f>
        <v>21674</v>
      </c>
      <c r="E169" s="10" t="str">
        <f>T("B4157 OR B4162")</f>
        <v>B4157 OR B4162</v>
      </c>
      <c r="F169" s="10" t="str">
        <f>T("12/01/2017")</f>
        <v>12/01/2017</v>
      </c>
      <c r="G169" s="10" t="str">
        <f t="shared" si="34"/>
        <v/>
      </c>
      <c r="H169" s="10" t="str">
        <f>T("ADD THE BO MODIFIER TO THE HCPCS CODE IF THE ENTERAL NUTRITION IS BEING ADMINISTERED ORALLY AND IS NOT BEING ADMINISTERED BY A FEEDING TUBE")</f>
        <v>ADD THE BO MODIFIER TO THE HCPCS CODE IF THE ENTERAL NUTRITION IS BEING ADMINISTERED ORALLY AND IS NOT BEING ADMINISTERED BY A FEEDING TUBE</v>
      </c>
    </row>
    <row r="170" spans="1:8" ht="13.5" customHeight="1" x14ac:dyDescent="0.2">
      <c r="A170" s="9" t="s">
        <v>9</v>
      </c>
      <c r="B170" s="10" t="str">
        <f>T("PKU AIR15 YELLOW")</f>
        <v>PKU AIR15 YELLOW</v>
      </c>
      <c r="C170" s="10" t="str">
        <f>T("VITAFLO USA LLC")</f>
        <v>VITAFLO USA LLC</v>
      </c>
      <c r="D170" s="10" t="str">
        <f>T("21681")</f>
        <v>21681</v>
      </c>
      <c r="E170" s="10" t="str">
        <f>T("B4157 OR B4162")</f>
        <v>B4157 OR B4162</v>
      </c>
      <c r="F170" s="10" t="str">
        <f>T("12/01/2017")</f>
        <v>12/01/2017</v>
      </c>
      <c r="G170" s="10" t="str">
        <f t="shared" si="34"/>
        <v/>
      </c>
      <c r="H170" s="10" t="str">
        <f>T("ADD THE BO MODIFIER TO THE HCPCS CODE IF THE ENTERAL NUTRITION IS BEING ADMINISTERED ORALLY AND IS NOT BEING ADMINISTERED BY A FEEDING TUBE")</f>
        <v>ADD THE BO MODIFIER TO THE HCPCS CODE IF THE ENTERAL NUTRITION IS BEING ADMINISTERED ORALLY AND IS NOT BEING ADMINISTERED BY A FEEDING TUBE</v>
      </c>
    </row>
    <row r="171" spans="1:8" ht="13.5" customHeight="1" x14ac:dyDescent="0.2">
      <c r="A171" s="9" t="s">
        <v>9</v>
      </c>
      <c r="B171" s="10" t="str">
        <f>T("ENFAMIL PREMIUM NEWBORN")</f>
        <v>ENFAMIL PREMIUM NEWBORN</v>
      </c>
      <c r="C171" s="10" t="str">
        <f>T("MEAD JOHNSON &amp; COMPANY LLC")</f>
        <v>MEAD JOHNSON &amp; COMPANY LLC</v>
      </c>
      <c r="D171" s="10" t="str">
        <f>T("30087165741")</f>
        <v>30087165741</v>
      </c>
      <c r="E171" s="10" t="str">
        <f>T("B4158")</f>
        <v>B4158</v>
      </c>
      <c r="F171" s="10" t="str">
        <f>T("12/18/2017")</f>
        <v>12/18/2017</v>
      </c>
      <c r="G171" s="10" t="str">
        <f t="shared" si="34"/>
        <v/>
      </c>
      <c r="H171" s="10" t="str">
        <f t="shared" ref="H171:H179" si="35">T("")</f>
        <v/>
      </c>
    </row>
    <row r="172" spans="1:8" ht="13.5" customHeight="1" x14ac:dyDescent="0.2">
      <c r="A172" s="9" t="s">
        <v>9</v>
      </c>
      <c r="B172" s="10" t="str">
        <f>T("ENFAMIL PREMIUM NEWBORN")</f>
        <v>ENFAMIL PREMIUM NEWBORN</v>
      </c>
      <c r="C172" s="10" t="str">
        <f>T("MEAD JOHNSON &amp; COMPANY LLC")</f>
        <v>MEAD JOHNSON &amp; COMPANY LLC</v>
      </c>
      <c r="D172" s="10" t="str">
        <f>T("300871466456")</f>
        <v>300871466456</v>
      </c>
      <c r="E172" s="10" t="str">
        <f>T("B4158")</f>
        <v>B4158</v>
      </c>
      <c r="F172" s="10" t="str">
        <f>T("12/18/2017")</f>
        <v>12/18/2017</v>
      </c>
      <c r="G172" s="10" t="str">
        <f t="shared" si="34"/>
        <v/>
      </c>
      <c r="H172" s="10" t="str">
        <f t="shared" si="35"/>
        <v/>
      </c>
    </row>
    <row r="173" spans="1:8" ht="13.5" customHeight="1" x14ac:dyDescent="0.2">
      <c r="A173" s="9" t="s">
        <v>9</v>
      </c>
      <c r="B173" s="10" t="str">
        <f>T("DYNAMO SWING - LARGE")</f>
        <v>DYNAMO SWING - LARGE</v>
      </c>
      <c r="C173" s="10" t="str">
        <f>T("DYNAMD")</f>
        <v>DYNAMD</v>
      </c>
      <c r="D173" s="10" t="str">
        <f>T("DMS1-001")</f>
        <v>DMS1-001</v>
      </c>
      <c r="E173" s="10" t="str">
        <f>T("E0114 OR E0116")</f>
        <v>E0114 OR E0116</v>
      </c>
      <c r="F173" s="10" t="str">
        <f>T("12/29/2017")</f>
        <v>12/29/2017</v>
      </c>
      <c r="G173" s="10" t="str">
        <f t="shared" si="34"/>
        <v/>
      </c>
      <c r="H173" s="10" t="str">
        <f t="shared" si="35"/>
        <v/>
      </c>
    </row>
    <row r="174" spans="1:8" ht="13.5" customHeight="1" x14ac:dyDescent="0.2">
      <c r="A174" s="9" t="s">
        <v>9</v>
      </c>
      <c r="B174" s="10" t="str">
        <f>T("DYNAMO SWING - SMALL")</f>
        <v>DYNAMO SWING - SMALL</v>
      </c>
      <c r="C174" s="10" t="str">
        <f>T("DYNAMD")</f>
        <v>DYNAMD</v>
      </c>
      <c r="D174" s="10" t="str">
        <f>T("DMS1-002")</f>
        <v>DMS1-002</v>
      </c>
      <c r="E174" s="10" t="str">
        <f>T("E0114 OR E0116")</f>
        <v>E0114 OR E0116</v>
      </c>
      <c r="F174" s="10" t="str">
        <f>T("12/29/2017")</f>
        <v>12/29/2017</v>
      </c>
      <c r="G174" s="10" t="str">
        <f t="shared" si="34"/>
        <v/>
      </c>
      <c r="H174" s="10" t="str">
        <f t="shared" si="35"/>
        <v/>
      </c>
    </row>
    <row r="175" spans="1:8" ht="13.5" customHeight="1" x14ac:dyDescent="0.2">
      <c r="A175" s="9" t="s">
        <v>9</v>
      </c>
      <c r="B175" s="10" t="str">
        <f>T("DYNAMO VERSA")</f>
        <v>DYNAMO VERSA</v>
      </c>
      <c r="C175" s="10" t="str">
        <f>T("DYNAMD")</f>
        <v>DYNAMD</v>
      </c>
      <c r="D175" s="10" t="str">
        <f>T("DMV1-001")</f>
        <v>DMV1-001</v>
      </c>
      <c r="E175" s="10" t="str">
        <f>T("E0114 OR E0116")</f>
        <v>E0114 OR E0116</v>
      </c>
      <c r="F175" s="10" t="str">
        <f>T("12/29/2017")</f>
        <v>12/29/2017</v>
      </c>
      <c r="G175" s="10" t="str">
        <f t="shared" si="34"/>
        <v/>
      </c>
      <c r="H175" s="10" t="str">
        <f t="shared" si="35"/>
        <v/>
      </c>
    </row>
    <row r="176" spans="1:8" ht="13.5" customHeight="1" x14ac:dyDescent="0.2">
      <c r="A176" s="9" t="s">
        <v>9</v>
      </c>
      <c r="B176" s="10" t="str">
        <f>T("BARIATRIC WALKER WITH TWO FRONT WHEELS")</f>
        <v>BARIATRIC WALKER WITH TWO FRONT WHEELS</v>
      </c>
      <c r="C176" s="10" t="str">
        <f>T("DYNAREX CORP")</f>
        <v>DYNAREX CORP</v>
      </c>
      <c r="D176" s="10" t="str">
        <f>T("10166")</f>
        <v>10166</v>
      </c>
      <c r="E176" s="10" t="str">
        <f>T("E0148")</f>
        <v>E0148</v>
      </c>
      <c r="F176" s="10" t="str">
        <f>T("12/18/2017")</f>
        <v>12/18/2017</v>
      </c>
      <c r="G176" s="10" t="str">
        <f t="shared" si="34"/>
        <v/>
      </c>
      <c r="H176" s="10" t="str">
        <f t="shared" si="35"/>
        <v/>
      </c>
    </row>
    <row r="177" spans="1:8" ht="13.5" customHeight="1" x14ac:dyDescent="0.2">
      <c r="A177" s="9" t="s">
        <v>9</v>
      </c>
      <c r="B177" s="10" t="str">
        <f>T("BARIATRIC WALKER")</f>
        <v>BARIATRIC WALKER</v>
      </c>
      <c r="C177" s="10" t="str">
        <f>T("DYNAREX CORP")</f>
        <v>DYNAREX CORP</v>
      </c>
      <c r="D177" s="10" t="str">
        <f>T("10165")</f>
        <v>10165</v>
      </c>
      <c r="E177" s="10" t="str">
        <f>T("E0149")</f>
        <v>E0149</v>
      </c>
      <c r="F177" s="10" t="str">
        <f>T("12/18/2017")</f>
        <v>12/18/2017</v>
      </c>
      <c r="G177" s="10" t="str">
        <f t="shared" si="34"/>
        <v/>
      </c>
      <c r="H177" s="10" t="str">
        <f t="shared" si="35"/>
        <v/>
      </c>
    </row>
    <row r="178" spans="1:8" ht="13.5" customHeight="1" x14ac:dyDescent="0.2">
      <c r="A178" s="9" t="s">
        <v>9</v>
      </c>
      <c r="B178" s="10" t="str">
        <f>T("ALUMINUM BATH BENCH WITH BACK")</f>
        <v>ALUMINUM BATH BENCH WITH BACK</v>
      </c>
      <c r="C178" s="10" t="str">
        <f t="shared" ref="C178:C190" si="36">T("MEDLINE INDUSTRIES INC")</f>
        <v>MEDLINE INDUSTRIES INC</v>
      </c>
      <c r="D178" s="10" t="str">
        <f>T("MDS89745R")</f>
        <v>MDS89745R</v>
      </c>
      <c r="E178" s="10" t="str">
        <f>T("E0240")</f>
        <v>E0240</v>
      </c>
      <c r="F178" s="10" t="str">
        <f>T("12/29/2017")</f>
        <v>12/29/2017</v>
      </c>
      <c r="G178" s="10" t="str">
        <f t="shared" si="34"/>
        <v/>
      </c>
      <c r="H178" s="10" t="str">
        <f t="shared" si="35"/>
        <v/>
      </c>
    </row>
    <row r="179" spans="1:8" ht="13.5" customHeight="1" x14ac:dyDescent="0.2">
      <c r="A179" s="9" t="s">
        <v>9</v>
      </c>
      <c r="B179" s="10" t="str">
        <f>T("ALUMINUM BATH BENCH WITH BACK")</f>
        <v>ALUMINUM BATH BENCH WITH BACK</v>
      </c>
      <c r="C179" s="10" t="str">
        <f t="shared" si="36"/>
        <v>MEDLINE INDUSTRIES INC</v>
      </c>
      <c r="D179" s="10" t="str">
        <f>T("MDS89745A")</f>
        <v>MDS89745A</v>
      </c>
      <c r="E179" s="10" t="str">
        <f>T("E0240")</f>
        <v>E0240</v>
      </c>
      <c r="F179" s="10" t="str">
        <f>T("12/29/2017")</f>
        <v>12/29/2017</v>
      </c>
      <c r="G179" s="10" t="str">
        <f t="shared" si="34"/>
        <v/>
      </c>
      <c r="H179" s="10" t="str">
        <f t="shared" si="35"/>
        <v/>
      </c>
    </row>
    <row r="180" spans="1:8" ht="13.5" customHeight="1" x14ac:dyDescent="0.2">
      <c r="A180" s="9" t="s">
        <v>10</v>
      </c>
      <c r="B180" s="5" t="str">
        <f>T("BATH BENCHES")</f>
        <v>BATH BENCHES</v>
      </c>
      <c r="C180" s="5" t="str">
        <f t="shared" si="36"/>
        <v>MEDLINE INDUSTRIES INC</v>
      </c>
      <c r="D180" s="5" t="str">
        <f>T("MDS89745R")</f>
        <v>MDS89745R</v>
      </c>
      <c r="E180" s="5" t="str">
        <f>T("E0245")</f>
        <v>E0245</v>
      </c>
      <c r="F180" s="5" t="str">
        <f>T("06/09/2005")</f>
        <v>06/09/2005</v>
      </c>
      <c r="G180" s="5" t="str">
        <f>T("12/28/2017")</f>
        <v>12/28/2017</v>
      </c>
      <c r="H180" s="5"/>
    </row>
    <row r="181" spans="1:8" ht="13.5" customHeight="1" x14ac:dyDescent="0.2">
      <c r="A181" s="9" t="s">
        <v>10</v>
      </c>
      <c r="B181" s="5" t="str">
        <f>T("BATH BENCHES")</f>
        <v>BATH BENCHES</v>
      </c>
      <c r="C181" s="5" t="str">
        <f t="shared" si="36"/>
        <v>MEDLINE INDUSTRIES INC</v>
      </c>
      <c r="D181" s="5" t="str">
        <f>T("MDS89745A")</f>
        <v>MDS89745A</v>
      </c>
      <c r="E181" s="5" t="str">
        <f>T("E0245")</f>
        <v>E0245</v>
      </c>
      <c r="F181" s="5" t="str">
        <f>T("06/09/2005")</f>
        <v>06/09/2005</v>
      </c>
      <c r="G181" s="5" t="str">
        <f>T("12/28/2017")</f>
        <v>12/28/2017</v>
      </c>
      <c r="H181" s="5"/>
    </row>
    <row r="182" spans="1:8" ht="13.5" customHeight="1" x14ac:dyDescent="0.2">
      <c r="A182" s="9" t="s">
        <v>9</v>
      </c>
      <c r="B182" s="10" t="str">
        <f>T("TRANSFER BENCH WITH COMMODE OPENING")</f>
        <v>TRANSFER BENCH WITH COMMODE OPENING</v>
      </c>
      <c r="C182" s="10" t="str">
        <f t="shared" si="36"/>
        <v>MEDLINE INDUSTRIES INC</v>
      </c>
      <c r="D182" s="10" t="str">
        <f>T("G98013KD")</f>
        <v>G98013KD</v>
      </c>
      <c r="E182" s="10" t="str">
        <f t="shared" ref="E182:E190" si="37">T("E0247")</f>
        <v>E0247</v>
      </c>
      <c r="F182" s="10" t="str">
        <f t="shared" ref="F182:F190" si="38">T("12/29/2017")</f>
        <v>12/29/2017</v>
      </c>
      <c r="G182" s="10" t="str">
        <f t="shared" ref="G182:H195" si="39">T("")</f>
        <v/>
      </c>
      <c r="H182" s="10" t="str">
        <f t="shared" si="39"/>
        <v/>
      </c>
    </row>
    <row r="183" spans="1:8" ht="13.5" customHeight="1" x14ac:dyDescent="0.2">
      <c r="A183" s="9" t="s">
        <v>9</v>
      </c>
      <c r="B183" s="10" t="str">
        <f>T("TRANSFER BENCH")</f>
        <v>TRANSFER BENCH</v>
      </c>
      <c r="C183" s="10" t="str">
        <f t="shared" si="36"/>
        <v>MEDLINE INDUSTRIES INC</v>
      </c>
      <c r="D183" s="10" t="str">
        <f>T("G98338MF")</f>
        <v>G98338MF</v>
      </c>
      <c r="E183" s="10" t="str">
        <f t="shared" si="37"/>
        <v>E0247</v>
      </c>
      <c r="F183" s="10" t="str">
        <f t="shared" si="38"/>
        <v>12/29/2017</v>
      </c>
      <c r="G183" s="10" t="str">
        <f t="shared" si="39"/>
        <v/>
      </c>
      <c r="H183" s="10" t="str">
        <f t="shared" si="39"/>
        <v/>
      </c>
    </row>
    <row r="184" spans="1:8" ht="13.5" customHeight="1" x14ac:dyDescent="0.2">
      <c r="A184" s="9" t="s">
        <v>9</v>
      </c>
      <c r="B184" s="10" t="str">
        <f>T("TRANSFER BENCH")</f>
        <v>TRANSFER BENCH</v>
      </c>
      <c r="C184" s="10" t="str">
        <f t="shared" si="36"/>
        <v>MEDLINE INDUSTRIES INC</v>
      </c>
      <c r="D184" s="10" t="str">
        <f>T("G98308AM")</f>
        <v>G98308AM</v>
      </c>
      <c r="E184" s="10" t="str">
        <f t="shared" si="37"/>
        <v>E0247</v>
      </c>
      <c r="F184" s="10" t="str">
        <f t="shared" si="38"/>
        <v>12/29/2017</v>
      </c>
      <c r="G184" s="10" t="str">
        <f t="shared" si="39"/>
        <v/>
      </c>
      <c r="H184" s="10" t="str">
        <f t="shared" si="39"/>
        <v/>
      </c>
    </row>
    <row r="185" spans="1:8" ht="13.5" customHeight="1" x14ac:dyDescent="0.2">
      <c r="A185" s="9" t="s">
        <v>9</v>
      </c>
      <c r="B185" s="10" t="str">
        <f>T("TRANSFER BENCH")</f>
        <v>TRANSFER BENCH</v>
      </c>
      <c r="C185" s="10" t="str">
        <f t="shared" si="36"/>
        <v>MEDLINE INDUSTRIES INC</v>
      </c>
      <c r="D185" s="10" t="str">
        <f>T("MDS86960ELMB")</f>
        <v>MDS86960ELMB</v>
      </c>
      <c r="E185" s="10" t="str">
        <f t="shared" si="37"/>
        <v>E0247</v>
      </c>
      <c r="F185" s="10" t="str">
        <f t="shared" si="38"/>
        <v>12/29/2017</v>
      </c>
      <c r="G185" s="10" t="str">
        <f t="shared" si="39"/>
        <v/>
      </c>
      <c r="H185" s="10" t="str">
        <f t="shared" si="39"/>
        <v/>
      </c>
    </row>
    <row r="186" spans="1:8" ht="13.5" customHeight="1" x14ac:dyDescent="0.2">
      <c r="A186" s="9" t="s">
        <v>9</v>
      </c>
      <c r="B186" s="10" t="str">
        <f>T("TRANSFER BENCH")</f>
        <v>TRANSFER BENCH</v>
      </c>
      <c r="C186" s="10" t="str">
        <f t="shared" si="36"/>
        <v>MEDLINE INDUSTRIES INC</v>
      </c>
      <c r="D186" s="10" t="str">
        <f>T("MDS86960ELMBC")</f>
        <v>MDS86960ELMBC</v>
      </c>
      <c r="E186" s="10" t="str">
        <f t="shared" si="37"/>
        <v>E0247</v>
      </c>
      <c r="F186" s="10" t="str">
        <f t="shared" si="38"/>
        <v>12/29/2017</v>
      </c>
      <c r="G186" s="10" t="str">
        <f t="shared" si="39"/>
        <v/>
      </c>
      <c r="H186" s="10" t="str">
        <f t="shared" si="39"/>
        <v/>
      </c>
    </row>
    <row r="187" spans="1:8" ht="13.5" customHeight="1" x14ac:dyDescent="0.2">
      <c r="A187" s="9" t="s">
        <v>9</v>
      </c>
      <c r="B187" s="10" t="str">
        <f>T("KNOCKDOWN TRANSFER BENCH")</f>
        <v>KNOCKDOWN TRANSFER BENCH</v>
      </c>
      <c r="C187" s="10" t="str">
        <f t="shared" si="36"/>
        <v>MEDLINE INDUSTRIES INC</v>
      </c>
      <c r="D187" s="10" t="str">
        <f>T("MDS86960KDMB")</f>
        <v>MDS86960KDMB</v>
      </c>
      <c r="E187" s="10" t="str">
        <f t="shared" si="37"/>
        <v>E0247</v>
      </c>
      <c r="F187" s="10" t="str">
        <f t="shared" si="38"/>
        <v>12/29/2017</v>
      </c>
      <c r="G187" s="10" t="str">
        <f t="shared" si="39"/>
        <v/>
      </c>
      <c r="H187" s="10" t="str">
        <f t="shared" si="39"/>
        <v/>
      </c>
    </row>
    <row r="188" spans="1:8" ht="13.5" customHeight="1" x14ac:dyDescent="0.2">
      <c r="A188" s="9" t="s">
        <v>9</v>
      </c>
      <c r="B188" s="10" t="str">
        <f>T("KNOCKDOWN TRANSFER BENCH")</f>
        <v>KNOCKDOWN TRANSFER BENCH</v>
      </c>
      <c r="C188" s="10" t="str">
        <f t="shared" si="36"/>
        <v>MEDLINE INDUSTRIES INC</v>
      </c>
      <c r="D188" s="10" t="str">
        <f>T("MDS86960KDMBC")</f>
        <v>MDS86960KDMBC</v>
      </c>
      <c r="E188" s="10" t="str">
        <f t="shared" si="37"/>
        <v>E0247</v>
      </c>
      <c r="F188" s="10" t="str">
        <f t="shared" si="38"/>
        <v>12/29/2017</v>
      </c>
      <c r="G188" s="10" t="str">
        <f t="shared" si="39"/>
        <v/>
      </c>
      <c r="H188" s="10" t="str">
        <f t="shared" si="39"/>
        <v/>
      </c>
    </row>
    <row r="189" spans="1:8" ht="13.5" customHeight="1" x14ac:dyDescent="0.2">
      <c r="A189" s="9" t="s">
        <v>9</v>
      </c>
      <c r="B189" s="10" t="str">
        <f>T("KNOCKDOWN TRANSFER BENCH")</f>
        <v>KNOCKDOWN TRANSFER BENCH</v>
      </c>
      <c r="C189" s="10" t="str">
        <f t="shared" si="36"/>
        <v>MEDLINE INDUSTRIES INC</v>
      </c>
      <c r="D189" s="10" t="str">
        <f>T("MDS86960KD")</f>
        <v>MDS86960KD</v>
      </c>
      <c r="E189" s="10" t="str">
        <f t="shared" si="37"/>
        <v>E0247</v>
      </c>
      <c r="F189" s="10" t="str">
        <f t="shared" si="38"/>
        <v>12/29/2017</v>
      </c>
      <c r="G189" s="10" t="str">
        <f t="shared" si="39"/>
        <v/>
      </c>
      <c r="H189" s="10" t="str">
        <f t="shared" si="39"/>
        <v/>
      </c>
    </row>
    <row r="190" spans="1:8" ht="13.5" customHeight="1" x14ac:dyDescent="0.2">
      <c r="A190" s="9" t="s">
        <v>9</v>
      </c>
      <c r="B190" s="10" t="str">
        <f>T("KNOCKDOWN TRANSFER BENCH")</f>
        <v>KNOCKDOWN TRANSFER BENCH</v>
      </c>
      <c r="C190" s="10" t="str">
        <f t="shared" si="36"/>
        <v>MEDLINE INDUSTRIES INC</v>
      </c>
      <c r="D190" s="10" t="str">
        <f>T("MDS86960KDE")</f>
        <v>MDS86960KDE</v>
      </c>
      <c r="E190" s="10" t="str">
        <f t="shared" si="37"/>
        <v>E0247</v>
      </c>
      <c r="F190" s="10" t="str">
        <f t="shared" si="38"/>
        <v>12/29/2017</v>
      </c>
      <c r="G190" s="10" t="str">
        <f t="shared" si="39"/>
        <v/>
      </c>
      <c r="H190" s="10" t="str">
        <f t="shared" si="39"/>
        <v/>
      </c>
    </row>
    <row r="191" spans="1:8" ht="13.5" customHeight="1" x14ac:dyDescent="0.2">
      <c r="A191" s="9" t="s">
        <v>9</v>
      </c>
      <c r="B191" s="10" t="str">
        <f>T("LUMEX SELECT LS200")</f>
        <v>LUMEX SELECT LS200</v>
      </c>
      <c r="C191" s="10" t="str">
        <f>T("GF HEALTH PRODUCTS INC")</f>
        <v>GF HEALTH PRODUCTS INC</v>
      </c>
      <c r="D191" s="10" t="str">
        <f>T("LS200")</f>
        <v>LS200</v>
      </c>
      <c r="E191" s="10" t="str">
        <f>T("E0277")</f>
        <v>E0277</v>
      </c>
      <c r="F191" s="10" t="str">
        <f>T("12/27/2017")</f>
        <v>12/27/2017</v>
      </c>
      <c r="G191" s="10" t="str">
        <f t="shared" si="39"/>
        <v/>
      </c>
      <c r="H191" s="10" t="str">
        <f t="shared" si="39"/>
        <v/>
      </c>
    </row>
    <row r="192" spans="1:8" ht="13.5" customHeight="1" x14ac:dyDescent="0.2">
      <c r="A192" s="9" t="s">
        <v>9</v>
      </c>
      <c r="B192" s="10" t="str">
        <f>T("LUMEX SELECT LS300")</f>
        <v>LUMEX SELECT LS300</v>
      </c>
      <c r="C192" s="10" t="str">
        <f>T("GF HEALTH PRODUCTS INC")</f>
        <v>GF HEALTH PRODUCTS INC</v>
      </c>
      <c r="D192" s="10" t="str">
        <f>T("LS300")</f>
        <v>LS300</v>
      </c>
      <c r="E192" s="10" t="str">
        <f>T("E0277")</f>
        <v>E0277</v>
      </c>
      <c r="F192" s="10" t="str">
        <f>T("12/27/2017")</f>
        <v>12/27/2017</v>
      </c>
      <c r="G192" s="10" t="str">
        <f t="shared" si="39"/>
        <v/>
      </c>
      <c r="H192" s="10" t="str">
        <f t="shared" si="39"/>
        <v/>
      </c>
    </row>
    <row r="193" spans="1:8" ht="13.5" customHeight="1" x14ac:dyDescent="0.2">
      <c r="A193" s="9" t="s">
        <v>9</v>
      </c>
      <c r="B193" s="10" t="str">
        <f>T("FEMALE URINAL")</f>
        <v>FEMALE URINAL</v>
      </c>
      <c r="C193" s="10" t="str">
        <f>T("MEDLINE INDUSTRIES INC")</f>
        <v>MEDLINE INDUSTRIES INC</v>
      </c>
      <c r="D193" s="10" t="str">
        <f>T("G901-PC")</f>
        <v>G901-PC</v>
      </c>
      <c r="E193" s="10" t="str">
        <f>T("E0326")</f>
        <v>E0326</v>
      </c>
      <c r="F193" s="10" t="str">
        <f>T("12/21/2017")</f>
        <v>12/21/2017</v>
      </c>
      <c r="G193" s="10" t="str">
        <f t="shared" si="39"/>
        <v/>
      </c>
      <c r="H193" s="10" t="str">
        <f t="shared" si="39"/>
        <v/>
      </c>
    </row>
    <row r="194" spans="1:8" ht="13.5" customHeight="1" x14ac:dyDescent="0.2">
      <c r="A194" s="9" t="s">
        <v>9</v>
      </c>
      <c r="B194" s="10" t="str">
        <f>T("FEMALE URINAL")</f>
        <v>FEMALE URINAL</v>
      </c>
      <c r="C194" s="10" t="str">
        <f>T("MEDLINE INDUSTRIES INC")</f>
        <v>MEDLINE INDUSTRIES INC</v>
      </c>
      <c r="D194" s="10" t="str">
        <f>T("MDS901PC")</f>
        <v>MDS901PC</v>
      </c>
      <c r="E194" s="10" t="str">
        <f>T("E0326")</f>
        <v>E0326</v>
      </c>
      <c r="F194" s="10" t="str">
        <f>T("12/21/2017")</f>
        <v>12/21/2017</v>
      </c>
      <c r="G194" s="10" t="str">
        <f t="shared" si="39"/>
        <v/>
      </c>
      <c r="H194" s="10" t="str">
        <f t="shared" si="39"/>
        <v/>
      </c>
    </row>
    <row r="195" spans="1:8" ht="13.5" customHeight="1" x14ac:dyDescent="0.2">
      <c r="A195" s="9" t="s">
        <v>9</v>
      </c>
      <c r="B195" s="10" t="str">
        <f>T("MONARCH AIRWAY CLEARANCE SYSTEM")</f>
        <v>MONARCH AIRWAY CLEARANCE SYSTEM</v>
      </c>
      <c r="C195" s="10" t="str">
        <f>T("HILL-ROM INC")</f>
        <v>HILL-ROM INC</v>
      </c>
      <c r="D195" s="10" t="str">
        <f>T("1000")</f>
        <v>1000</v>
      </c>
      <c r="E195" s="10" t="str">
        <f>T("E0483")</f>
        <v>E0483</v>
      </c>
      <c r="F195" s="10" t="str">
        <f>T("12/04/2017")</f>
        <v>12/04/2017</v>
      </c>
      <c r="G195" s="10" t="str">
        <f t="shared" si="39"/>
        <v/>
      </c>
      <c r="H195" s="10" t="str">
        <f t="shared" si="39"/>
        <v/>
      </c>
    </row>
    <row r="196" spans="1:8" ht="13.5" customHeight="1" x14ac:dyDescent="0.2">
      <c r="A196" s="9" t="s">
        <v>9</v>
      </c>
      <c r="B196" s="10" t="str">
        <f>T("HEADREST")</f>
        <v>HEADREST</v>
      </c>
      <c r="C196" s="10" t="str">
        <f>T("MEDIFAB LIMITED")</f>
        <v>MEDIFAB LIMITED</v>
      </c>
      <c r="D196" s="10" t="str">
        <f>T("1270-XXXX-YYY")</f>
        <v>1270-XXXX-YYY</v>
      </c>
      <c r="E196" s="10" t="str">
        <f>T("E0955")</f>
        <v>E0955</v>
      </c>
      <c r="F196" s="10" t="str">
        <f>T("12/05/2017")</f>
        <v>12/05/2017</v>
      </c>
      <c r="G196" s="10" t="str">
        <f>T("")</f>
        <v/>
      </c>
      <c r="H196" s="10" t="str">
        <f>T("THE XXXX AND YYY WITHIN THE MODEL NUMBER ARE PLACEHOLDERS FOR PAD HEIGHT/DEPTH (XXXX) AND HARDWARE (YYY).")</f>
        <v>THE XXXX AND YYY WITHIN THE MODEL NUMBER ARE PLACEHOLDERS FOR PAD HEIGHT/DEPTH (XXXX) AND HARDWARE (YYY).</v>
      </c>
    </row>
    <row r="197" spans="1:8" ht="13.5" customHeight="1" x14ac:dyDescent="0.2">
      <c r="A197" s="9" t="s">
        <v>9</v>
      </c>
      <c r="B197" s="10" t="str">
        <f>T("LATERAL TRUNK SUPPORT / THIGH SUPPORT")</f>
        <v>LATERAL TRUNK SUPPORT / THIGH SUPPORT</v>
      </c>
      <c r="C197" s="10" t="str">
        <f>T("MEDIFAB LIMITED")</f>
        <v>MEDIFAB LIMITED</v>
      </c>
      <c r="D197" s="10" t="str">
        <f>T("1266-XXXX-YYY")</f>
        <v>1266-XXXX-YYY</v>
      </c>
      <c r="E197" s="10" t="str">
        <f>T("E0956")</f>
        <v>E0956</v>
      </c>
      <c r="F197" s="10" t="str">
        <f>T("12/04/2017")</f>
        <v>12/04/2017</v>
      </c>
      <c r="G197" s="10" t="str">
        <f>T("")</f>
        <v/>
      </c>
      <c r="H197" s="10" t="str">
        <f>T("THE XXXX AND YYY WITHIN THE MODEL NUMBER ARE PLACEHOLDERS FOR PAD HEIGHT/DEPTH (XXXX) AND HARDWARE (YYY).")</f>
        <v>THE XXXX AND YYY WITHIN THE MODEL NUMBER ARE PLACEHOLDERS FOR PAD HEIGHT/DEPTH (XXXX) AND HARDWARE (YYY).</v>
      </c>
    </row>
    <row r="198" spans="1:8" ht="13.5" customHeight="1" x14ac:dyDescent="0.2">
      <c r="A198" s="9" t="s">
        <v>9</v>
      </c>
      <c r="B198" s="10" t="str">
        <f>T("MEDIAL SUPPORT")</f>
        <v>MEDIAL SUPPORT</v>
      </c>
      <c r="C198" s="10" t="str">
        <f>T("MEDIFAB LIMITED")</f>
        <v>MEDIFAB LIMITED</v>
      </c>
      <c r="D198" s="10" t="str">
        <f>T("1162-XXXX-YYY")</f>
        <v>1162-XXXX-YYY</v>
      </c>
      <c r="E198" s="10" t="str">
        <f>T("E0957")</f>
        <v>E0957</v>
      </c>
      <c r="F198" s="10" t="str">
        <f>T("12/04/2017")</f>
        <v>12/04/2017</v>
      </c>
      <c r="G198" s="10" t="str">
        <f>T("")</f>
        <v/>
      </c>
      <c r="H198" s="10" t="str">
        <f>T("THE XXXX AND YYY WITHIN THE MODEL NUMBER ARE PLACEHOLDERS FOR PAD HEIGHT/DEPTH (XXXX) AND HARDWARE (YYY).")</f>
        <v>THE XXXX AND YYY WITHIN THE MODEL NUMBER ARE PLACEHOLDERS FOR PAD HEIGHT/DEPTH (XXXX) AND HARDWARE (YYY).</v>
      </c>
    </row>
    <row r="199" spans="1:8" ht="13.5" customHeight="1" x14ac:dyDescent="0.2">
      <c r="A199" s="9" t="s">
        <v>10</v>
      </c>
      <c r="B199" s="5" t="str">
        <f>T("MONARCH AIRWAY CLEARANCE SYSTEM")</f>
        <v>MONARCH AIRWAY CLEARANCE SYSTEM</v>
      </c>
      <c r="C199" s="5" t="str">
        <f>T("HILL-ROM INC")</f>
        <v>HILL-ROM INC</v>
      </c>
      <c r="D199" s="5" t="str">
        <f>T("1000")</f>
        <v>1000</v>
      </c>
      <c r="E199" s="5" t="str">
        <f>T("E1399")</f>
        <v>E1399</v>
      </c>
      <c r="F199" s="5" t="str">
        <f>T("08/14/2017")</f>
        <v>08/14/2017</v>
      </c>
      <c r="G199" s="5" t="str">
        <f>T("12/03/2017")</f>
        <v>12/03/2017</v>
      </c>
      <c r="H199" s="5" t="str">
        <f>T("")</f>
        <v/>
      </c>
    </row>
    <row r="200" spans="1:8" ht="24" x14ac:dyDescent="0.2">
      <c r="A200" s="9" t="s">
        <v>9</v>
      </c>
      <c r="B200" s="10" t="str">
        <f>T("STEALTH SIMPLICITY G CUSHION")</f>
        <v>STEALTH SIMPLICITY G CUSHION</v>
      </c>
      <c r="C200" s="10" t="str">
        <f>T("PRIDE MOBILITY PRODUCTS CORP")</f>
        <v>PRIDE MOBILITY PRODUCTS CORP</v>
      </c>
      <c r="D200" s="10" t="str">
        <f>T("ST-SIMGXXYY")</f>
        <v>ST-SIMGXXYY</v>
      </c>
      <c r="E200" s="10" t="str">
        <f>T("E2601 OR E2602")</f>
        <v>E2601 OR E2602</v>
      </c>
      <c r="F200" s="10" t="str">
        <f>T("12/01/2017")</f>
        <v>12/01/2017</v>
      </c>
      <c r="G200" s="10" t="str">
        <f t="shared" ref="G200:G246" si="40">T("")</f>
        <v/>
      </c>
      <c r="H200" s="10" t="str">
        <f>T("THE XX AND YY WITHIN THE MODEL NUMBER ARE PLACEHOLDERS FOR HEIGHT (XX) AND WIDTH (YY). BILL E2601 FOR CUSHIONS LESS THAN 22"" IN WIDTH, BILL E2602 FOR CUSHIONS 22"" OR GREATER")</f>
        <v>THE XX AND YY WITHIN THE MODEL NUMBER ARE PLACEHOLDERS FOR HEIGHT (XX) AND WIDTH (YY). BILL E2601 FOR CUSHIONS LESS THAN 22" IN WIDTH, BILL E2602 FOR CUSHIONS 22" OR GREATER</v>
      </c>
    </row>
    <row r="201" spans="1:8" ht="13.5" customHeight="1" x14ac:dyDescent="0.2">
      <c r="A201" s="9" t="s">
        <v>9</v>
      </c>
      <c r="B201" s="10" t="str">
        <f>T("SEDENS 500 BATTERY POWERED ALTERNATING 17"" X 17"" SEAT CUSHION AND PUMP")</f>
        <v>SEDENS 500 BATTERY POWERED ALTERNATING 17" X 17" SEAT CUSHION AND PUMP</v>
      </c>
      <c r="C201" s="10" t="str">
        <f>T("APEX MEDICAL CORP")</f>
        <v>APEX MEDICAL CORP</v>
      </c>
      <c r="D201" s="10" t="str">
        <f>T("PD01901")</f>
        <v>PD01901</v>
      </c>
      <c r="E201" s="10" t="str">
        <f>T("E2610")</f>
        <v>E2610</v>
      </c>
      <c r="F201" s="10" t="str">
        <f>T("12/26/2017")</f>
        <v>12/26/2017</v>
      </c>
      <c r="G201" s="10" t="str">
        <f t="shared" si="40"/>
        <v/>
      </c>
      <c r="H201" s="10" t="str">
        <f t="shared" ref="H201:H206" si="41">T("")</f>
        <v/>
      </c>
    </row>
    <row r="202" spans="1:8" ht="13.5" customHeight="1" x14ac:dyDescent="0.2">
      <c r="A202" s="9" t="s">
        <v>9</v>
      </c>
      <c r="B202" s="10" t="str">
        <f>T("VARILITE ZOID SEATING SYSTEM")</f>
        <v>VARILITE ZOID SEATING SYSTEM</v>
      </c>
      <c r="C202" s="10" t="str">
        <f>T("VARILITE (A DIVISION OF CASCADE DESIGNS INC)")</f>
        <v>VARILITE (A DIVISION OF CASCADE DESIGNS INC)</v>
      </c>
      <c r="D202" s="10" t="str">
        <f>T("730001")</f>
        <v>730001</v>
      </c>
      <c r="E202" s="10" t="str">
        <f>T("E2622")</f>
        <v>E2622</v>
      </c>
      <c r="F202" s="10" t="str">
        <f>T("12/01/2017")</f>
        <v>12/01/2017</v>
      </c>
      <c r="G202" s="10" t="str">
        <f t="shared" si="40"/>
        <v/>
      </c>
      <c r="H202" s="10" t="str">
        <f t="shared" si="41"/>
        <v/>
      </c>
    </row>
    <row r="203" spans="1:8" ht="13.5" customHeight="1" x14ac:dyDescent="0.2">
      <c r="A203" s="9" t="s">
        <v>9</v>
      </c>
      <c r="B203" s="10" t="str">
        <f>T("FREESTYLE LIBRE FLASH GLUCOSE MONITORING SYSTEM")</f>
        <v>FREESTYLE LIBRE FLASH GLUCOSE MONITORING SYSTEM</v>
      </c>
      <c r="C203" s="10" t="str">
        <f>T("ABBOTT DIABETES CARE INC")</f>
        <v>ABBOTT DIABETES CARE INC</v>
      </c>
      <c r="D203" s="10" t="str">
        <f>T("71525-01")</f>
        <v>71525-01</v>
      </c>
      <c r="E203" s="10" t="str">
        <f>T("K0554")</f>
        <v>K0554</v>
      </c>
      <c r="F203" s="10" t="str">
        <f>T("12/27/2017")</f>
        <v>12/27/2017</v>
      </c>
      <c r="G203" s="10" t="str">
        <f t="shared" si="40"/>
        <v/>
      </c>
      <c r="H203" s="10" t="str">
        <f t="shared" si="41"/>
        <v/>
      </c>
    </row>
    <row r="204" spans="1:8" ht="13.5" customHeight="1" x14ac:dyDescent="0.2">
      <c r="A204" s="9" t="s">
        <v>9</v>
      </c>
      <c r="B204" s="10" t="str">
        <f>T("QUICKIE Q700 M")</f>
        <v>QUICKIE Q700 M</v>
      </c>
      <c r="C204" s="10" t="str">
        <f>T("SUNRISE MEDICAL (US) LLC")</f>
        <v>SUNRISE MEDICAL (US) LLC</v>
      </c>
      <c r="D204" s="10" t="str">
        <f>T("MPC")</f>
        <v>MPC</v>
      </c>
      <c r="E204" s="10" t="str">
        <f>T("K0861")</f>
        <v>K0861</v>
      </c>
      <c r="F204" s="10" t="str">
        <f>T("12/08/2017")</f>
        <v>12/08/2017</v>
      </c>
      <c r="G204" s="10" t="str">
        <f t="shared" si="40"/>
        <v/>
      </c>
      <c r="H204" s="10" t="str">
        <f t="shared" si="41"/>
        <v/>
      </c>
    </row>
    <row r="205" spans="1:8" ht="13.5" customHeight="1" x14ac:dyDescent="0.2">
      <c r="A205" s="9" t="s">
        <v>9</v>
      </c>
      <c r="B205" s="10" t="str">
        <f>T("QUICKIE Q700 M")</f>
        <v>QUICKIE Q700 M</v>
      </c>
      <c r="C205" s="10" t="str">
        <f>T("SUNRISE MEDICAL (US) LLC")</f>
        <v>SUNRISE MEDICAL (US) LLC</v>
      </c>
      <c r="D205" s="10" t="str">
        <f>T("MPC HD")</f>
        <v>MPC HD</v>
      </c>
      <c r="E205" s="10" t="str">
        <f>T("K0862")</f>
        <v>K0862</v>
      </c>
      <c r="F205" s="10" t="str">
        <f>T("12/11/2017")</f>
        <v>12/11/2017</v>
      </c>
      <c r="G205" s="10" t="str">
        <f t="shared" si="40"/>
        <v/>
      </c>
      <c r="H205" s="10" t="str">
        <f t="shared" si="41"/>
        <v/>
      </c>
    </row>
    <row r="206" spans="1:8" ht="13.5" customHeight="1" x14ac:dyDescent="0.2">
      <c r="A206" s="9" t="s">
        <v>9</v>
      </c>
      <c r="B206" s="10" t="str">
        <f>T("QUICKIE Q700 M")</f>
        <v>QUICKIE Q700 M</v>
      </c>
      <c r="C206" s="10" t="str">
        <f>T("SUNRISE MEDICAL (US) LLC")</f>
        <v>SUNRISE MEDICAL (US) LLC</v>
      </c>
      <c r="D206" s="10" t="str">
        <f>T("MPD")</f>
        <v>MPD</v>
      </c>
      <c r="E206" s="10" t="str">
        <f>T("K0884")</f>
        <v>K0884</v>
      </c>
      <c r="F206" s="10" t="str">
        <f>T("12/08/2017")</f>
        <v>12/08/2017</v>
      </c>
      <c r="G206" s="10" t="str">
        <f t="shared" si="40"/>
        <v/>
      </c>
      <c r="H206" s="10" t="str">
        <f t="shared" si="41"/>
        <v/>
      </c>
    </row>
    <row r="207" spans="1:8" ht="13.5" customHeight="1" x14ac:dyDescent="0.2">
      <c r="A207" s="9" t="s">
        <v>9</v>
      </c>
      <c r="B207" s="10" t="str">
        <f>T("OSTEOMED ACUTE")</f>
        <v>OSTEOMED ACUTE</v>
      </c>
      <c r="C207" s="10" t="str">
        <f>T("TOWNSEND DESIGN")</f>
        <v>TOWNSEND DESIGN</v>
      </c>
      <c r="D207" s="10" t="str">
        <f>T("U5120199999999")</f>
        <v>U5120199999999</v>
      </c>
      <c r="E207" s="10" t="str">
        <f>T("L0454 OR L0455 OR A9270")</f>
        <v>L0454 OR L0455 OR A9270</v>
      </c>
      <c r="F207" s="10" t="str">
        <f>T("12/26/2017")</f>
        <v>12/26/2017</v>
      </c>
      <c r="G207" s="10" t="str">
        <f t="shared" si="40"/>
        <v/>
      </c>
      <c r="H207" s="10" t="str">
        <f>T("USE L0454 OR L0455 IF THE POSTERIOR PANEL IS PROVIDED. USE A9270 IF THE POSTERIOR PANEL IS NOT PROVIDED.")</f>
        <v>USE L0454 OR L0455 IF THE POSTERIOR PANEL IS PROVIDED. USE A9270 IF THE POSTERIOR PANEL IS NOT PROVIDED.</v>
      </c>
    </row>
    <row r="208" spans="1:8" ht="13.5" customHeight="1" x14ac:dyDescent="0.2">
      <c r="A208" s="9" t="s">
        <v>9</v>
      </c>
      <c r="B208" s="10" t="str">
        <f>T("THE MIRACLE BACK (TLSO) FROM DOCTOR IN THE HOUSE")</f>
        <v>THE MIRACLE BACK (TLSO) FROM DOCTOR IN THE HOUSE</v>
      </c>
      <c r="C208" s="10" t="str">
        <f>T("DOCTOR IN THE HOUSE")</f>
        <v>DOCTOR IN THE HOUSE</v>
      </c>
      <c r="D208" s="10" t="str">
        <f>T("MB100")</f>
        <v>MB100</v>
      </c>
      <c r="E208" s="10" t="str">
        <f>T("L0628 OR A4467")</f>
        <v>L0628 OR A4467</v>
      </c>
      <c r="F208" s="10" t="str">
        <f>T("12/26/2017")</f>
        <v>12/26/2017</v>
      </c>
      <c r="G208" s="10" t="str">
        <f t="shared" si="40"/>
        <v/>
      </c>
      <c r="H208" s="10" t="str">
        <f>T("USE L0628 ONLY IF POSTERIOR PANEL IS SUPPLIED. USE A4467 IF POSTERIOR PANEL IS NOT SUPPLIED.")</f>
        <v>USE L0628 ONLY IF POSTERIOR PANEL IS SUPPLIED. USE A4467 IF POSTERIOR PANEL IS NOT SUPPLIED.</v>
      </c>
    </row>
    <row r="209" spans="1:8" ht="13.5" customHeight="1" x14ac:dyDescent="0.2">
      <c r="A209" s="9" t="s">
        <v>9</v>
      </c>
      <c r="B209" s="10" t="str">
        <f>T("DUO MEDIAL COMBINED INSTABILITY ATHLETIC")</f>
        <v>DUO MEDIAL COMBINED INSTABILITY ATHLETIC</v>
      </c>
      <c r="C209" s="10" t="str">
        <f>T("BREG INC")</f>
        <v>BREG INC</v>
      </c>
      <c r="D209" s="10" t="str">
        <f>T("ED111YXX-CI")</f>
        <v>ED111YXX-CI</v>
      </c>
      <c r="E209" s="10" t="str">
        <f>T("L1820")</f>
        <v>L1820</v>
      </c>
      <c r="F209" s="10" t="str">
        <f>T("12/22/2017")</f>
        <v>12/22/2017</v>
      </c>
      <c r="G209" s="10" t="str">
        <f t="shared" si="40"/>
        <v/>
      </c>
      <c r="H209" s="10" t="str">
        <f>T("THE XX AND Y WITHIN THE MODEL NUMBER ARE PLACEHOLDERS FOR SIZE (XX) AND RIGHT OR LEFT (Y).")</f>
        <v>THE XX AND Y WITHIN THE MODEL NUMBER ARE PLACEHOLDERS FOR SIZE (XX) AND RIGHT OR LEFT (Y).</v>
      </c>
    </row>
    <row r="210" spans="1:8" ht="13.5" customHeight="1" x14ac:dyDescent="0.2">
      <c r="A210" s="9" t="s">
        <v>9</v>
      </c>
      <c r="B210" s="10" t="str">
        <f>T("DUO MEDIAL COMBINED INSTABILITY")</f>
        <v>DUO MEDIAL COMBINED INSTABILITY</v>
      </c>
      <c r="C210" s="10" t="str">
        <f>T("BREG INC")</f>
        <v>BREG INC</v>
      </c>
      <c r="D210" s="10" t="str">
        <f>T("ED112YXX-CI")</f>
        <v>ED112YXX-CI</v>
      </c>
      <c r="E210" s="10" t="str">
        <f>T("L1820")</f>
        <v>L1820</v>
      </c>
      <c r="F210" s="10" t="str">
        <f>T("12/22/2017")</f>
        <v>12/22/2017</v>
      </c>
      <c r="G210" s="10" t="str">
        <f t="shared" si="40"/>
        <v/>
      </c>
      <c r="H210" s="10" t="str">
        <f>T("THE XX AND Y WITHIN THE MODEL NUMBER ARE PLACEHOLDERS FOR SIZE (XX) AND RIGHT OR LEFT (Y).")</f>
        <v>THE XX AND Y WITHIN THE MODEL NUMBER ARE PLACEHOLDERS FOR SIZE (XX) AND RIGHT OR LEFT (Y).</v>
      </c>
    </row>
    <row r="211" spans="1:8" ht="13.5" customHeight="1" x14ac:dyDescent="0.2">
      <c r="A211" s="9" t="s">
        <v>9</v>
      </c>
      <c r="B211" s="10" t="str">
        <f>T("DUO LATERAL COMBINED INSTABILITY ATHLETIC")</f>
        <v>DUO LATERAL COMBINED INSTABILITY ATHLETIC</v>
      </c>
      <c r="C211" s="10" t="str">
        <f>T("BREG INC")</f>
        <v>BREG INC</v>
      </c>
      <c r="D211" s="10" t="str">
        <f>T("ED113YXX-CI")</f>
        <v>ED113YXX-CI</v>
      </c>
      <c r="E211" s="10" t="str">
        <f>T("L1820")</f>
        <v>L1820</v>
      </c>
      <c r="F211" s="10" t="str">
        <f>T("12/22/2017")</f>
        <v>12/22/2017</v>
      </c>
      <c r="G211" s="10" t="str">
        <f t="shared" si="40"/>
        <v/>
      </c>
      <c r="H211" s="10" t="str">
        <f>T("THE XX AND Y WITHIN THE MODEL NUMBER ARE PLACEHOLDERS FOR SIZE (XX) AND RIGHT OR LEFT (Y).")</f>
        <v>THE XX AND Y WITHIN THE MODEL NUMBER ARE PLACEHOLDERS FOR SIZE (XX) AND RIGHT OR LEFT (Y).</v>
      </c>
    </row>
    <row r="212" spans="1:8" ht="13.5" customHeight="1" x14ac:dyDescent="0.2">
      <c r="A212" s="9" t="s">
        <v>9</v>
      </c>
      <c r="B212" s="10" t="str">
        <f>T("DUO LATERAL COMBINED INSTABILITY")</f>
        <v>DUO LATERAL COMBINED INSTABILITY</v>
      </c>
      <c r="C212" s="10" t="str">
        <f>T("BREG INC")</f>
        <v>BREG INC</v>
      </c>
      <c r="D212" s="10" t="str">
        <f>T("EDD114YXX-CI")</f>
        <v>EDD114YXX-CI</v>
      </c>
      <c r="E212" s="10" t="str">
        <f>T("L1820")</f>
        <v>L1820</v>
      </c>
      <c r="F212" s="10" t="str">
        <f>T("12/22/2017")</f>
        <v>12/22/2017</v>
      </c>
      <c r="G212" s="10" t="str">
        <f t="shared" si="40"/>
        <v/>
      </c>
      <c r="H212" s="10" t="str">
        <f>T("THE XX AND Y WITHIN THE MODEL NUMBER ARE PLACEHOLDERS FOR SIZE (XX) AND RIGHT OR LEFT (Y).")</f>
        <v>THE XX AND Y WITHIN THE MODEL NUMBER ARE PLACEHOLDERS FOR SIZE (XX) AND RIGHT OR LEFT (Y).</v>
      </c>
    </row>
    <row r="213" spans="1:8" ht="13.5" customHeight="1" x14ac:dyDescent="0.2">
      <c r="A213" s="9" t="s">
        <v>9</v>
      </c>
      <c r="B213" s="10" t="str">
        <f>T("DUO MEDIAL COMBINED INSTABILITY ATHLETIC SHORT")</f>
        <v>DUO MEDIAL COMBINED INSTABILITY ATHLETIC SHORT</v>
      </c>
      <c r="C213" s="10" t="str">
        <f>T("BREG INC")</f>
        <v>BREG INC</v>
      </c>
      <c r="D213" s="10" t="str">
        <f>T("ED311YXX-CI")</f>
        <v>ED311YXX-CI</v>
      </c>
      <c r="E213" s="10" t="str">
        <f>T("L1820")</f>
        <v>L1820</v>
      </c>
      <c r="F213" s="10" t="str">
        <f>T("12/22/2017")</f>
        <v>12/22/2017</v>
      </c>
      <c r="G213" s="10" t="str">
        <f t="shared" si="40"/>
        <v/>
      </c>
      <c r="H213" s="10" t="str">
        <f>T("THE XX AND Y WITHIN THE MODEL NUMBER ARE PLACEHOLDERS FOR SIZE (XX) AND RIGHT OR LEFT (Y).")</f>
        <v>THE XX AND Y WITHIN THE MODEL NUMBER ARE PLACEHOLDERS FOR SIZE (XX) AND RIGHT OR LEFT (Y).</v>
      </c>
    </row>
    <row r="214" spans="1:8" ht="13.5" customHeight="1" x14ac:dyDescent="0.2">
      <c r="A214" s="9" t="s">
        <v>9</v>
      </c>
      <c r="B214" s="10" t="str">
        <f t="shared" ref="B214:B221" si="42">T("LEAF SPRING AFO")</f>
        <v>LEAF SPRING AFO</v>
      </c>
      <c r="C214" s="10" t="str">
        <f t="shared" ref="C214:C221" si="43">T("AIR A MED INC")</f>
        <v>AIR A MED INC</v>
      </c>
      <c r="D214" s="10" t="str">
        <f>T("60-7017 (SM-RIGHT)")</f>
        <v>60-7017 (SM-RIGHT)</v>
      </c>
      <c r="E214" s="10" t="str">
        <f t="shared" ref="E214:E221" si="44">T("L1930")</f>
        <v>L1930</v>
      </c>
      <c r="F214" s="10" t="str">
        <f t="shared" ref="F214:F221" si="45">T("12/20/2017")</f>
        <v>12/20/2017</v>
      </c>
      <c r="G214" s="10" t="str">
        <f t="shared" si="40"/>
        <v/>
      </c>
      <c r="H214" s="10" t="str">
        <f t="shared" ref="H214:H246" si="46">T("")</f>
        <v/>
      </c>
    </row>
    <row r="215" spans="1:8" ht="13.5" customHeight="1" x14ac:dyDescent="0.2">
      <c r="A215" s="9" t="s">
        <v>9</v>
      </c>
      <c r="B215" s="10" t="str">
        <f t="shared" si="42"/>
        <v>LEAF SPRING AFO</v>
      </c>
      <c r="C215" s="10" t="str">
        <f t="shared" si="43"/>
        <v>AIR A MED INC</v>
      </c>
      <c r="D215" s="10" t="str">
        <f>T("60-7018 (MED-RIGHT)")</f>
        <v>60-7018 (MED-RIGHT)</v>
      </c>
      <c r="E215" s="10" t="str">
        <f t="shared" si="44"/>
        <v>L1930</v>
      </c>
      <c r="F215" s="10" t="str">
        <f t="shared" si="45"/>
        <v>12/20/2017</v>
      </c>
      <c r="G215" s="10" t="str">
        <f t="shared" si="40"/>
        <v/>
      </c>
      <c r="H215" s="10" t="str">
        <f t="shared" si="46"/>
        <v/>
      </c>
    </row>
    <row r="216" spans="1:8" ht="13.5" customHeight="1" x14ac:dyDescent="0.2">
      <c r="A216" s="9" t="s">
        <v>9</v>
      </c>
      <c r="B216" s="10" t="str">
        <f t="shared" si="42"/>
        <v>LEAF SPRING AFO</v>
      </c>
      <c r="C216" s="10" t="str">
        <f t="shared" si="43"/>
        <v>AIR A MED INC</v>
      </c>
      <c r="D216" s="10" t="str">
        <f>T("60-7019 (LG-RIGHT)")</f>
        <v>60-7019 (LG-RIGHT)</v>
      </c>
      <c r="E216" s="10" t="str">
        <f t="shared" si="44"/>
        <v>L1930</v>
      </c>
      <c r="F216" s="10" t="str">
        <f t="shared" si="45"/>
        <v>12/20/2017</v>
      </c>
      <c r="G216" s="10" t="str">
        <f t="shared" si="40"/>
        <v/>
      </c>
      <c r="H216" s="10" t="str">
        <f t="shared" si="46"/>
        <v/>
      </c>
    </row>
    <row r="217" spans="1:8" ht="13.5" customHeight="1" x14ac:dyDescent="0.2">
      <c r="A217" s="9" t="s">
        <v>9</v>
      </c>
      <c r="B217" s="10" t="str">
        <f t="shared" si="42"/>
        <v>LEAF SPRING AFO</v>
      </c>
      <c r="C217" s="10" t="str">
        <f t="shared" si="43"/>
        <v>AIR A MED INC</v>
      </c>
      <c r="D217" s="10" t="str">
        <f>T("60-7020 (XL-RIGHT)")</f>
        <v>60-7020 (XL-RIGHT)</v>
      </c>
      <c r="E217" s="10" t="str">
        <f t="shared" si="44"/>
        <v>L1930</v>
      </c>
      <c r="F217" s="10" t="str">
        <f t="shared" si="45"/>
        <v>12/20/2017</v>
      </c>
      <c r="G217" s="10" t="str">
        <f t="shared" si="40"/>
        <v/>
      </c>
      <c r="H217" s="10" t="str">
        <f t="shared" si="46"/>
        <v/>
      </c>
    </row>
    <row r="218" spans="1:8" ht="13.5" customHeight="1" x14ac:dyDescent="0.2">
      <c r="A218" s="9" t="s">
        <v>9</v>
      </c>
      <c r="B218" s="10" t="str">
        <f t="shared" si="42"/>
        <v>LEAF SPRING AFO</v>
      </c>
      <c r="C218" s="10" t="str">
        <f t="shared" si="43"/>
        <v>AIR A MED INC</v>
      </c>
      <c r="D218" s="10" t="str">
        <f>T("60-7021 (SM-LEFT)")</f>
        <v>60-7021 (SM-LEFT)</v>
      </c>
      <c r="E218" s="10" t="str">
        <f t="shared" si="44"/>
        <v>L1930</v>
      </c>
      <c r="F218" s="10" t="str">
        <f t="shared" si="45"/>
        <v>12/20/2017</v>
      </c>
      <c r="G218" s="10" t="str">
        <f t="shared" si="40"/>
        <v/>
      </c>
      <c r="H218" s="10" t="str">
        <f t="shared" si="46"/>
        <v/>
      </c>
    </row>
    <row r="219" spans="1:8" ht="13.5" customHeight="1" x14ac:dyDescent="0.2">
      <c r="A219" s="9" t="s">
        <v>9</v>
      </c>
      <c r="B219" s="10" t="str">
        <f t="shared" si="42"/>
        <v>LEAF SPRING AFO</v>
      </c>
      <c r="C219" s="10" t="str">
        <f t="shared" si="43"/>
        <v>AIR A MED INC</v>
      </c>
      <c r="D219" s="10" t="str">
        <f>T("60-7022 (MED-LEFT)")</f>
        <v>60-7022 (MED-LEFT)</v>
      </c>
      <c r="E219" s="10" t="str">
        <f t="shared" si="44"/>
        <v>L1930</v>
      </c>
      <c r="F219" s="10" t="str">
        <f t="shared" si="45"/>
        <v>12/20/2017</v>
      </c>
      <c r="G219" s="10" t="str">
        <f t="shared" si="40"/>
        <v/>
      </c>
      <c r="H219" s="10" t="str">
        <f t="shared" si="46"/>
        <v/>
      </c>
    </row>
    <row r="220" spans="1:8" ht="13.5" customHeight="1" x14ac:dyDescent="0.2">
      <c r="A220" s="9" t="s">
        <v>9</v>
      </c>
      <c r="B220" s="10" t="str">
        <f t="shared" si="42"/>
        <v>LEAF SPRING AFO</v>
      </c>
      <c r="C220" s="10" t="str">
        <f t="shared" si="43"/>
        <v>AIR A MED INC</v>
      </c>
      <c r="D220" s="10" t="str">
        <f>T("60-7023 (LG-LEFT)")</f>
        <v>60-7023 (LG-LEFT)</v>
      </c>
      <c r="E220" s="10" t="str">
        <f t="shared" si="44"/>
        <v>L1930</v>
      </c>
      <c r="F220" s="10" t="str">
        <f t="shared" si="45"/>
        <v>12/20/2017</v>
      </c>
      <c r="G220" s="10" t="str">
        <f t="shared" si="40"/>
        <v/>
      </c>
      <c r="H220" s="10" t="str">
        <f t="shared" si="46"/>
        <v/>
      </c>
    </row>
    <row r="221" spans="1:8" ht="13.5" customHeight="1" x14ac:dyDescent="0.2">
      <c r="A221" s="9" t="s">
        <v>9</v>
      </c>
      <c r="B221" s="10" t="str">
        <f t="shared" si="42"/>
        <v>LEAF SPRING AFO</v>
      </c>
      <c r="C221" s="10" t="str">
        <f t="shared" si="43"/>
        <v>AIR A MED INC</v>
      </c>
      <c r="D221" s="10" t="str">
        <f>T("60-7024 (XL-LEFT)")</f>
        <v>60-7024 (XL-LEFT)</v>
      </c>
      <c r="E221" s="10" t="str">
        <f t="shared" si="44"/>
        <v>L1930</v>
      </c>
      <c r="F221" s="10" t="str">
        <f t="shared" si="45"/>
        <v>12/20/2017</v>
      </c>
      <c r="G221" s="10" t="str">
        <f t="shared" si="40"/>
        <v/>
      </c>
      <c r="H221" s="10" t="str">
        <f t="shared" si="46"/>
        <v/>
      </c>
    </row>
    <row r="222" spans="1:8" ht="13.5" customHeight="1" x14ac:dyDescent="0.2">
      <c r="A222" s="9" t="s">
        <v>9</v>
      </c>
      <c r="B222" s="10" t="str">
        <f>T("ELITE REHABILITATOR VARUS/VALGUS CONTROL T-STRAP - RIGHT")</f>
        <v>ELITE REHABILITATOR VARUS/VALGUS CONTROL T-STRAP - RIGHT</v>
      </c>
      <c r="C222" s="10" t="str">
        <f>T("GUARDIAN BRACE INC")</f>
        <v>GUARDIAN BRACE INC</v>
      </c>
      <c r="D222" s="10" t="str">
        <f>T("ERA-STRAP - R")</f>
        <v>ERA-STRAP - R</v>
      </c>
      <c r="E222" s="10" t="str">
        <f>T("L2270")</f>
        <v>L2270</v>
      </c>
      <c r="F222" s="10" t="str">
        <f>T("12/15/2017")</f>
        <v>12/15/2017</v>
      </c>
      <c r="G222" s="10" t="str">
        <f t="shared" si="40"/>
        <v/>
      </c>
      <c r="H222" s="10" t="str">
        <f t="shared" si="46"/>
        <v/>
      </c>
    </row>
    <row r="223" spans="1:8" ht="13.5" customHeight="1" x14ac:dyDescent="0.2">
      <c r="A223" s="9" t="s">
        <v>9</v>
      </c>
      <c r="B223" s="10" t="str">
        <f>T("ELITE REHABILITATOR VARUS/VALGUS CONTROL T-STRAP - LEFT")</f>
        <v>ELITE REHABILITATOR VARUS/VALGUS CONTROL T-STRAP - LEFT</v>
      </c>
      <c r="C223" s="10" t="str">
        <f>T("GUARDIAN BRACE INC")</f>
        <v>GUARDIAN BRACE INC</v>
      </c>
      <c r="D223" s="10" t="str">
        <f>T("ERA-STRAP - L")</f>
        <v>ERA-STRAP - L</v>
      </c>
      <c r="E223" s="10" t="str">
        <f>T("L2270")</f>
        <v>L2270</v>
      </c>
      <c r="F223" s="10" t="str">
        <f>T("12/15/2017")</f>
        <v>12/15/2017</v>
      </c>
      <c r="G223" s="10" t="str">
        <f t="shared" si="40"/>
        <v/>
      </c>
      <c r="H223" s="10" t="str">
        <f t="shared" si="46"/>
        <v/>
      </c>
    </row>
    <row r="224" spans="1:8" ht="13.5" customHeight="1" x14ac:dyDescent="0.2">
      <c r="A224" s="9" t="s">
        <v>9</v>
      </c>
      <c r="B224" s="10" t="str">
        <f>T("BUNION AID SPLINT I")</f>
        <v>BUNION AID SPLINT I</v>
      </c>
      <c r="C224" s="10" t="str">
        <f>T("ALPHA ORTHOTICS CORP")</f>
        <v>ALPHA ORTHOTICS CORP</v>
      </c>
      <c r="D224" s="10" t="str">
        <f>T("82-03S (SIZE 4-6)")</f>
        <v>82-03S (SIZE 4-6)</v>
      </c>
      <c r="E224" s="10" t="str">
        <f>T("L3100")</f>
        <v>L3100</v>
      </c>
      <c r="F224" s="10" t="str">
        <f>T("12/12/2017")</f>
        <v>12/12/2017</v>
      </c>
      <c r="G224" s="10" t="str">
        <f t="shared" si="40"/>
        <v/>
      </c>
      <c r="H224" s="10" t="str">
        <f t="shared" si="46"/>
        <v/>
      </c>
    </row>
    <row r="225" spans="1:8" ht="13.5" customHeight="1" x14ac:dyDescent="0.2">
      <c r="A225" s="9" t="s">
        <v>9</v>
      </c>
      <c r="B225" s="10" t="str">
        <f>T("BUNION AID SPLINT III")</f>
        <v>BUNION AID SPLINT III</v>
      </c>
      <c r="C225" s="10" t="str">
        <f>T("ALPHA ORTHOTICS CORP")</f>
        <v>ALPHA ORTHOTICS CORP</v>
      </c>
      <c r="D225" s="10" t="str">
        <f>T("82-03H (SIZE 6-10)")</f>
        <v>82-03H (SIZE 6-10)</v>
      </c>
      <c r="E225" s="10" t="str">
        <f>T("L3100")</f>
        <v>L3100</v>
      </c>
      <c r="F225" s="10" t="str">
        <f>T("12/12/2017")</f>
        <v>12/12/2017</v>
      </c>
      <c r="G225" s="10" t="str">
        <f t="shared" si="40"/>
        <v/>
      </c>
      <c r="H225" s="10" t="str">
        <f t="shared" si="46"/>
        <v/>
      </c>
    </row>
    <row r="226" spans="1:8" ht="13.5" customHeight="1" x14ac:dyDescent="0.2">
      <c r="A226" s="9" t="s">
        <v>9</v>
      </c>
      <c r="B226" s="10" t="str">
        <f>T("BUNION AID SPLINT IV")</f>
        <v>BUNION AID SPLINT IV</v>
      </c>
      <c r="C226" s="10" t="str">
        <f>T("ALPHA ORTHOTICS CORP")</f>
        <v>ALPHA ORTHOTICS CORP</v>
      </c>
      <c r="D226" s="10" t="str">
        <f>T("82-03L (SIZE 10-13)")</f>
        <v>82-03L (SIZE 10-13)</v>
      </c>
      <c r="E226" s="10" t="str">
        <f>T("L3100")</f>
        <v>L3100</v>
      </c>
      <c r="F226" s="10" t="str">
        <f>T("12/12/2017")</f>
        <v>12/12/2017</v>
      </c>
      <c r="G226" s="10" t="str">
        <f t="shared" si="40"/>
        <v/>
      </c>
      <c r="H226" s="10" t="str">
        <f t="shared" si="46"/>
        <v/>
      </c>
    </row>
    <row r="227" spans="1:8" ht="13.5" customHeight="1" x14ac:dyDescent="0.2">
      <c r="A227" s="9" t="s">
        <v>9</v>
      </c>
      <c r="B227" s="10" t="str">
        <f>T("PL-3170 HEEL CUP")</f>
        <v>PL-3170 HEEL CUP</v>
      </c>
      <c r="C227" s="10" t="str">
        <f>T("PROLINE BRACING LLC")</f>
        <v>PROLINE BRACING LLC</v>
      </c>
      <c r="D227" s="10" t="str">
        <f>T("PL-3170 (101)")</f>
        <v>PL-3170 (101)</v>
      </c>
      <c r="E227" s="10" t="str">
        <f>T("L3170")</f>
        <v>L3170</v>
      </c>
      <c r="F227" s="10" t="str">
        <f>T("12/22/2017")</f>
        <v>12/22/2017</v>
      </c>
      <c r="G227" s="10" t="str">
        <f t="shared" si="40"/>
        <v/>
      </c>
      <c r="H227" s="10" t="str">
        <f t="shared" si="46"/>
        <v/>
      </c>
    </row>
    <row r="228" spans="1:8" ht="13.5" customHeight="1" x14ac:dyDescent="0.2">
      <c r="A228" s="9" t="s">
        <v>9</v>
      </c>
      <c r="B228" s="10" t="str">
        <f>T("PL-3170 HEEL CUP")</f>
        <v>PL-3170 HEEL CUP</v>
      </c>
      <c r="C228" s="10" t="str">
        <f>T("PROLINE BRACING LLC")</f>
        <v>PROLINE BRACING LLC</v>
      </c>
      <c r="D228" s="10" t="str">
        <f>T("PL-3170 (102)")</f>
        <v>PL-3170 (102)</v>
      </c>
      <c r="E228" s="10" t="str">
        <f>T("L3170")</f>
        <v>L3170</v>
      </c>
      <c r="F228" s="10" t="str">
        <f>T("12/22/2017")</f>
        <v>12/22/2017</v>
      </c>
      <c r="G228" s="10" t="str">
        <f t="shared" si="40"/>
        <v/>
      </c>
      <c r="H228" s="10" t="str">
        <f t="shared" si="46"/>
        <v/>
      </c>
    </row>
    <row r="229" spans="1:8" ht="13.5" customHeight="1" x14ac:dyDescent="0.2">
      <c r="A229" s="9" t="s">
        <v>9</v>
      </c>
      <c r="B229" s="10" t="str">
        <f>T("PL-3170 HEEL CUP")</f>
        <v>PL-3170 HEEL CUP</v>
      </c>
      <c r="C229" s="10" t="str">
        <f>T("PROLINE BRACING LLC")</f>
        <v>PROLINE BRACING LLC</v>
      </c>
      <c r="D229" s="10" t="str">
        <f>T("PL-3170 (103)")</f>
        <v>PL-3170 (103)</v>
      </c>
      <c r="E229" s="10" t="str">
        <f>T("L3170")</f>
        <v>L3170</v>
      </c>
      <c r="F229" s="10" t="str">
        <f>T("12/22/2017")</f>
        <v>12/22/2017</v>
      </c>
      <c r="G229" s="10" t="str">
        <f t="shared" si="40"/>
        <v/>
      </c>
      <c r="H229" s="10" t="str">
        <f t="shared" si="46"/>
        <v/>
      </c>
    </row>
    <row r="230" spans="1:8" ht="13.5" customHeight="1" x14ac:dyDescent="0.2">
      <c r="A230" s="9" t="s">
        <v>9</v>
      </c>
      <c r="B230" s="10" t="str">
        <f>T("S.O.T. RESTING HAND SPLINT LEFT SMALL")</f>
        <v>S.O.T. RESTING HAND SPLINT LEFT SMALL</v>
      </c>
      <c r="C230" s="10" t="str">
        <f t="shared" ref="C230:C235" si="47">T("ALLARD USA")</f>
        <v>ALLARD USA</v>
      </c>
      <c r="D230" s="10" t="str">
        <f>T("28710 1011")</f>
        <v>28710 1011</v>
      </c>
      <c r="E230" s="10" t="str">
        <f t="shared" ref="E230:E236" si="48">T("L3807 OR L3809")</f>
        <v>L3807 OR L3809</v>
      </c>
      <c r="F230" s="10" t="str">
        <f t="shared" ref="F230:F235" si="49">T("12/05/2017")</f>
        <v>12/05/2017</v>
      </c>
      <c r="G230" s="10" t="str">
        <f t="shared" si="40"/>
        <v/>
      </c>
      <c r="H230" s="10" t="str">
        <f t="shared" si="46"/>
        <v/>
      </c>
    </row>
    <row r="231" spans="1:8" ht="13.5" customHeight="1" x14ac:dyDescent="0.2">
      <c r="A231" s="9" t="s">
        <v>9</v>
      </c>
      <c r="B231" s="10" t="str">
        <f>T("S.O.T. RESTING HAND SPLINT LEFT MEDIUM")</f>
        <v>S.O.T. RESTING HAND SPLINT LEFT MEDIUM</v>
      </c>
      <c r="C231" s="10" t="str">
        <f t="shared" si="47"/>
        <v>ALLARD USA</v>
      </c>
      <c r="D231" s="10" t="str">
        <f>T("28710 1012")</f>
        <v>28710 1012</v>
      </c>
      <c r="E231" s="10" t="str">
        <f t="shared" si="48"/>
        <v>L3807 OR L3809</v>
      </c>
      <c r="F231" s="10" t="str">
        <f t="shared" si="49"/>
        <v>12/05/2017</v>
      </c>
      <c r="G231" s="10" t="str">
        <f t="shared" si="40"/>
        <v/>
      </c>
      <c r="H231" s="10" t="str">
        <f t="shared" si="46"/>
        <v/>
      </c>
    </row>
    <row r="232" spans="1:8" ht="13.5" customHeight="1" x14ac:dyDescent="0.2">
      <c r="A232" s="9" t="s">
        <v>9</v>
      </c>
      <c r="B232" s="10" t="str">
        <f>T("S.O.T. RESTING HAND SPLINT LEFT LARGE")</f>
        <v>S.O.T. RESTING HAND SPLINT LEFT LARGE</v>
      </c>
      <c r="C232" s="10" t="str">
        <f t="shared" si="47"/>
        <v>ALLARD USA</v>
      </c>
      <c r="D232" s="10" t="str">
        <f>T("28710 1013")</f>
        <v>28710 1013</v>
      </c>
      <c r="E232" s="10" t="str">
        <f t="shared" si="48"/>
        <v>L3807 OR L3809</v>
      </c>
      <c r="F232" s="10" t="str">
        <f t="shared" si="49"/>
        <v>12/05/2017</v>
      </c>
      <c r="G232" s="10" t="str">
        <f t="shared" si="40"/>
        <v/>
      </c>
      <c r="H232" s="10" t="str">
        <f t="shared" si="46"/>
        <v/>
      </c>
    </row>
    <row r="233" spans="1:8" ht="13.5" customHeight="1" x14ac:dyDescent="0.2">
      <c r="A233" s="9" t="s">
        <v>9</v>
      </c>
      <c r="B233" s="10" t="str">
        <f>T("S.O.T. RESTING HAND SPLINT RIGHT SMALL")</f>
        <v>S.O.T. RESTING HAND SPLINT RIGHT SMALL</v>
      </c>
      <c r="C233" s="10" t="str">
        <f t="shared" si="47"/>
        <v>ALLARD USA</v>
      </c>
      <c r="D233" s="10" t="str">
        <f>T("28710 2011")</f>
        <v>28710 2011</v>
      </c>
      <c r="E233" s="10" t="str">
        <f t="shared" si="48"/>
        <v>L3807 OR L3809</v>
      </c>
      <c r="F233" s="10" t="str">
        <f t="shared" si="49"/>
        <v>12/05/2017</v>
      </c>
      <c r="G233" s="10" t="str">
        <f t="shared" si="40"/>
        <v/>
      </c>
      <c r="H233" s="10" t="str">
        <f t="shared" si="46"/>
        <v/>
      </c>
    </row>
    <row r="234" spans="1:8" ht="13.5" customHeight="1" x14ac:dyDescent="0.2">
      <c r="A234" s="9" t="s">
        <v>9</v>
      </c>
      <c r="B234" s="10" t="str">
        <f>T("S.O.T. RESTING HAND SPLINT RIGHT MEDIUM")</f>
        <v>S.O.T. RESTING HAND SPLINT RIGHT MEDIUM</v>
      </c>
      <c r="C234" s="10" t="str">
        <f t="shared" si="47"/>
        <v>ALLARD USA</v>
      </c>
      <c r="D234" s="10" t="str">
        <f>T("28710 2012")</f>
        <v>28710 2012</v>
      </c>
      <c r="E234" s="10" t="str">
        <f t="shared" si="48"/>
        <v>L3807 OR L3809</v>
      </c>
      <c r="F234" s="10" t="str">
        <f t="shared" si="49"/>
        <v>12/05/2017</v>
      </c>
      <c r="G234" s="10" t="str">
        <f t="shared" si="40"/>
        <v/>
      </c>
      <c r="H234" s="10" t="str">
        <f t="shared" si="46"/>
        <v/>
      </c>
    </row>
    <row r="235" spans="1:8" ht="13.5" customHeight="1" x14ac:dyDescent="0.2">
      <c r="A235" s="9" t="s">
        <v>9</v>
      </c>
      <c r="B235" s="10" t="str">
        <f>T("S.O.T. RESTING HAND SPLINT RIGHT LARGE")</f>
        <v>S.O.T. RESTING HAND SPLINT RIGHT LARGE</v>
      </c>
      <c r="C235" s="10" t="str">
        <f t="shared" si="47"/>
        <v>ALLARD USA</v>
      </c>
      <c r="D235" s="10" t="str">
        <f>T("28710 2013")</f>
        <v>28710 2013</v>
      </c>
      <c r="E235" s="10" t="str">
        <f t="shared" si="48"/>
        <v>L3807 OR L3809</v>
      </c>
      <c r="F235" s="10" t="str">
        <f t="shared" si="49"/>
        <v>12/05/2017</v>
      </c>
      <c r="G235" s="10" t="str">
        <f t="shared" si="40"/>
        <v/>
      </c>
      <c r="H235" s="10" t="str">
        <f t="shared" si="46"/>
        <v/>
      </c>
    </row>
    <row r="236" spans="1:8" ht="13.5" customHeight="1" x14ac:dyDescent="0.2">
      <c r="A236" s="9" t="s">
        <v>9</v>
      </c>
      <c r="B236" s="10" t="str">
        <f>T("BENDEASE UNFLO FLO-FORM UNIVERSAL HAND SPLINT")</f>
        <v>BENDEASE UNFLO FLO-FORM UNIVERSAL HAND SPLINT</v>
      </c>
      <c r="C236" s="10" t="str">
        <f>T("GREENWOOD MARKETING LLC (DBA RESTORATIVE MEDICAL)")</f>
        <v>GREENWOOD MARKETING LLC (DBA RESTORATIVE MEDICAL)</v>
      </c>
      <c r="D236" s="10" t="str">
        <f>T("20715 UNFLO")</f>
        <v>20715 UNFLO</v>
      </c>
      <c r="E236" s="10" t="str">
        <f t="shared" si="48"/>
        <v>L3807 OR L3809</v>
      </c>
      <c r="F236" s="10" t="str">
        <f>T("12/18/2017")</f>
        <v>12/18/2017</v>
      </c>
      <c r="G236" s="10" t="str">
        <f t="shared" si="40"/>
        <v/>
      </c>
      <c r="H236" s="10" t="str">
        <f t="shared" si="46"/>
        <v/>
      </c>
    </row>
    <row r="237" spans="1:8" ht="13.5" customHeight="1" x14ac:dyDescent="0.2">
      <c r="A237" s="9" t="s">
        <v>9</v>
      </c>
      <c r="B237" s="10" t="str">
        <f>T("PRO SELECT FULL SHELL AIR WALKER HIGH SMALL")</f>
        <v>PRO SELECT FULL SHELL AIR WALKER HIGH SMALL</v>
      </c>
      <c r="C237" s="10" t="str">
        <f>T("ELITE ORTHOPAEDICS INC")</f>
        <v>ELITE ORTHOPAEDICS INC</v>
      </c>
      <c r="D237" s="10" t="str">
        <f>T("T98622")</f>
        <v>T98622</v>
      </c>
      <c r="E237" s="10" t="str">
        <f>T("L4360 OR L4361")</f>
        <v>L4360 OR L4361</v>
      </c>
      <c r="F237" s="10" t="str">
        <f>T("12/01/2017")</f>
        <v>12/01/2017</v>
      </c>
      <c r="G237" s="10" t="str">
        <f t="shared" si="40"/>
        <v/>
      </c>
      <c r="H237" s="10" t="str">
        <f t="shared" si="46"/>
        <v/>
      </c>
    </row>
    <row r="238" spans="1:8" ht="13.5" customHeight="1" x14ac:dyDescent="0.2">
      <c r="A238" s="9" t="s">
        <v>9</v>
      </c>
      <c r="B238" s="10" t="str">
        <f>T("PRO SELECT FULL SHELL AIR WALKER HIGH MEDIUM")</f>
        <v>PRO SELECT FULL SHELL AIR WALKER HIGH MEDIUM</v>
      </c>
      <c r="C238" s="10" t="str">
        <f>T("ELITE ORTHOPAEDICS INC")</f>
        <v>ELITE ORTHOPAEDICS INC</v>
      </c>
      <c r="D238" s="10" t="str">
        <f>T("T98624")</f>
        <v>T98624</v>
      </c>
      <c r="E238" s="10" t="str">
        <f>T("L4360 OR L4361")</f>
        <v>L4360 OR L4361</v>
      </c>
      <c r="F238" s="10" t="str">
        <f>T("12/01/2017")</f>
        <v>12/01/2017</v>
      </c>
      <c r="G238" s="10" t="str">
        <f t="shared" si="40"/>
        <v/>
      </c>
      <c r="H238" s="10" t="str">
        <f t="shared" si="46"/>
        <v/>
      </c>
    </row>
    <row r="239" spans="1:8" ht="13.5" customHeight="1" x14ac:dyDescent="0.2">
      <c r="A239" s="9" t="s">
        <v>9</v>
      </c>
      <c r="B239" s="10" t="str">
        <f>T("PRO SELECT FULL SHELL AIR WALKER HIGH LARGE")</f>
        <v>PRO SELECT FULL SHELL AIR WALKER HIGH LARGE</v>
      </c>
      <c r="C239" s="10" t="str">
        <f>T("ELITE ORTHOPAEDICS INC")</f>
        <v>ELITE ORTHOPAEDICS INC</v>
      </c>
      <c r="D239" s="10" t="str">
        <f>T("T98626")</f>
        <v>T98626</v>
      </c>
      <c r="E239" s="10" t="str">
        <f>T("L4360 OR L4361")</f>
        <v>L4360 OR L4361</v>
      </c>
      <c r="F239" s="10" t="str">
        <f>T("12/01/2017")</f>
        <v>12/01/2017</v>
      </c>
      <c r="G239" s="10" t="str">
        <f t="shared" si="40"/>
        <v/>
      </c>
      <c r="H239" s="10" t="str">
        <f t="shared" si="46"/>
        <v/>
      </c>
    </row>
    <row r="240" spans="1:8" ht="13.5" customHeight="1" x14ac:dyDescent="0.2">
      <c r="A240" s="9" t="s">
        <v>9</v>
      </c>
      <c r="B240" s="10" t="str">
        <f>T("RHEO KNEE XC")</f>
        <v>RHEO KNEE XC</v>
      </c>
      <c r="C240" s="10" t="str">
        <f t="shared" ref="C240:C245" si="50">T("OSSUR AMERICAS INC")</f>
        <v>OSSUR AMERICAS INC</v>
      </c>
      <c r="D240" s="10" t="str">
        <f>T("RKNXC0002")</f>
        <v>RKNXC0002</v>
      </c>
      <c r="E240" s="10" t="str">
        <f t="shared" ref="E240:E245" si="51">T("L5828+L5845+L5848+L5856+L5925")</f>
        <v>L5828+L5845+L5848+L5856+L5925</v>
      </c>
      <c r="F240" s="10" t="str">
        <f t="shared" ref="F240:F245" si="52">T("12/07/2017")</f>
        <v>12/07/2017</v>
      </c>
      <c r="G240" s="10" t="str">
        <f t="shared" si="40"/>
        <v/>
      </c>
      <c r="H240" s="10" t="str">
        <f t="shared" si="46"/>
        <v/>
      </c>
    </row>
    <row r="241" spans="1:8" ht="13.5" customHeight="1" x14ac:dyDescent="0.2">
      <c r="A241" s="9" t="s">
        <v>9</v>
      </c>
      <c r="B241" s="10" t="str">
        <f>T("RHEO KNEE XC")</f>
        <v>RHEO KNEE XC</v>
      </c>
      <c r="C241" s="10" t="str">
        <f t="shared" si="50"/>
        <v>OSSUR AMERICAS INC</v>
      </c>
      <c r="D241" s="10" t="str">
        <f>T("RKNXC0003")</f>
        <v>RKNXC0003</v>
      </c>
      <c r="E241" s="10" t="str">
        <f t="shared" si="51"/>
        <v>L5828+L5845+L5848+L5856+L5925</v>
      </c>
      <c r="F241" s="10" t="str">
        <f t="shared" si="52"/>
        <v>12/07/2017</v>
      </c>
      <c r="G241" s="10" t="str">
        <f t="shared" si="40"/>
        <v/>
      </c>
      <c r="H241" s="10" t="str">
        <f t="shared" si="46"/>
        <v/>
      </c>
    </row>
    <row r="242" spans="1:8" ht="13.5" customHeight="1" x14ac:dyDescent="0.2">
      <c r="A242" s="9" t="s">
        <v>9</v>
      </c>
      <c r="B242" s="10" t="str">
        <f>T("RHEO KNEE XC")</f>
        <v>RHEO KNEE XC</v>
      </c>
      <c r="C242" s="10" t="str">
        <f t="shared" si="50"/>
        <v>OSSUR AMERICAS INC</v>
      </c>
      <c r="D242" s="10" t="str">
        <f>T("RKNXC0004")</f>
        <v>RKNXC0004</v>
      </c>
      <c r="E242" s="10" t="str">
        <f t="shared" si="51"/>
        <v>L5828+L5845+L5848+L5856+L5925</v>
      </c>
      <c r="F242" s="10" t="str">
        <f t="shared" si="52"/>
        <v>12/07/2017</v>
      </c>
      <c r="G242" s="10" t="str">
        <f t="shared" si="40"/>
        <v/>
      </c>
      <c r="H242" s="10" t="str">
        <f t="shared" si="46"/>
        <v/>
      </c>
    </row>
    <row r="243" spans="1:8" ht="13.5" customHeight="1" x14ac:dyDescent="0.2">
      <c r="A243" s="9" t="s">
        <v>9</v>
      </c>
      <c r="B243" s="10" t="str">
        <f>T("RHEO KNEE XC")</f>
        <v>RHEO KNEE XC</v>
      </c>
      <c r="C243" s="10" t="str">
        <f t="shared" si="50"/>
        <v>OSSUR AMERICAS INC</v>
      </c>
      <c r="D243" s="10" t="str">
        <f>T("RKNXC0005")</f>
        <v>RKNXC0005</v>
      </c>
      <c r="E243" s="10" t="str">
        <f t="shared" si="51"/>
        <v>L5828+L5845+L5848+L5856+L5925</v>
      </c>
      <c r="F243" s="10" t="str">
        <f t="shared" si="52"/>
        <v>12/07/2017</v>
      </c>
      <c r="G243" s="10" t="str">
        <f t="shared" si="40"/>
        <v/>
      </c>
      <c r="H243" s="10" t="str">
        <f t="shared" si="46"/>
        <v/>
      </c>
    </row>
    <row r="244" spans="1:8" ht="13.5" customHeight="1" x14ac:dyDescent="0.2">
      <c r="A244" s="9" t="s">
        <v>9</v>
      </c>
      <c r="B244" s="10" t="str">
        <f>T("RHEO KNEE")</f>
        <v>RHEO KNEE</v>
      </c>
      <c r="C244" s="10" t="str">
        <f t="shared" si="50"/>
        <v>OSSUR AMERICAS INC</v>
      </c>
      <c r="D244" s="10" t="str">
        <f>T("RKN130003")</f>
        <v>RKN130003</v>
      </c>
      <c r="E244" s="10" t="str">
        <f t="shared" si="51"/>
        <v>L5828+L5845+L5848+L5856+L5925</v>
      </c>
      <c r="F244" s="10" t="str">
        <f t="shared" si="52"/>
        <v>12/07/2017</v>
      </c>
      <c r="G244" s="10" t="str">
        <f t="shared" si="40"/>
        <v/>
      </c>
      <c r="H244" s="10" t="str">
        <f t="shared" si="46"/>
        <v/>
      </c>
    </row>
    <row r="245" spans="1:8" ht="13.5" customHeight="1" x14ac:dyDescent="0.2">
      <c r="A245" s="9" t="s">
        <v>9</v>
      </c>
      <c r="B245" s="10" t="str">
        <f>T("RHEO KNEE")</f>
        <v>RHEO KNEE</v>
      </c>
      <c r="C245" s="10" t="str">
        <f t="shared" si="50"/>
        <v>OSSUR AMERICAS INC</v>
      </c>
      <c r="D245" s="10" t="str">
        <f>T("RKN130005")</f>
        <v>RKN130005</v>
      </c>
      <c r="E245" s="10" t="str">
        <f t="shared" si="51"/>
        <v>L5828+L5845+L5848+L5856+L5925</v>
      </c>
      <c r="F245" s="10" t="str">
        <f t="shared" si="52"/>
        <v>12/07/2017</v>
      </c>
      <c r="G245" s="10" t="str">
        <f t="shared" si="40"/>
        <v/>
      </c>
      <c r="H245" s="10" t="str">
        <f t="shared" si="46"/>
        <v/>
      </c>
    </row>
    <row r="246" spans="1:8" ht="13.5" customHeight="1" x14ac:dyDescent="0.2">
      <c r="A246" s="9" t="s">
        <v>9</v>
      </c>
      <c r="B246" s="10" t="str">
        <f>T("ALPHA MEDICAL INGUINAL HERNIA TRUSS")</f>
        <v>ALPHA MEDICAL INGUINAL HERNIA TRUSS</v>
      </c>
      <c r="C246" s="10" t="str">
        <f>T("ALPHA MEDICAL LLC")</f>
        <v>ALPHA MEDICAL LLC</v>
      </c>
      <c r="D246" s="10" t="str">
        <f>T("5000")</f>
        <v>5000</v>
      </c>
      <c r="E246" s="10" t="str">
        <f>T("L8310")</f>
        <v>L8310</v>
      </c>
      <c r="F246" s="10" t="str">
        <f>T("12/26/2017")</f>
        <v>12/26/2017</v>
      </c>
      <c r="G246" s="10" t="str">
        <f t="shared" si="40"/>
        <v/>
      </c>
      <c r="H246" s="10" t="str">
        <f t="shared" si="46"/>
        <v/>
      </c>
    </row>
    <row r="247" spans="1:8" ht="13.5" customHeight="1" x14ac:dyDescent="0.2">
      <c r="A247" s="9" t="s">
        <v>10</v>
      </c>
      <c r="B247" s="6" t="s">
        <v>33</v>
      </c>
      <c r="C247" s="6" t="s">
        <v>34</v>
      </c>
      <c r="D247" s="8" t="s">
        <v>35</v>
      </c>
      <c r="E247" s="6" t="s">
        <v>36</v>
      </c>
      <c r="F247" s="7">
        <v>39293</v>
      </c>
      <c r="G247" s="7">
        <v>43094</v>
      </c>
      <c r="H247" s="6"/>
    </row>
    <row r="248" spans="1:8" ht="13.5" customHeight="1" x14ac:dyDescent="0.2"/>
    <row r="249" spans="1:8" ht="13.5" customHeight="1" x14ac:dyDescent="0.2"/>
    <row r="250" spans="1:8" ht="13.5" customHeight="1" x14ac:dyDescent="0.2"/>
    <row r="251" spans="1:8" ht="13.5" customHeight="1" x14ac:dyDescent="0.2"/>
    <row r="252" spans="1:8" ht="13.5" customHeight="1" x14ac:dyDescent="0.2"/>
    <row r="253" spans="1:8" ht="13.5" customHeight="1" x14ac:dyDescent="0.2"/>
    <row r="254" spans="1:8" ht="13.5" customHeight="1" x14ac:dyDescent="0.2"/>
    <row r="255" spans="1:8" ht="13.5" customHeight="1" x14ac:dyDescent="0.2"/>
    <row r="256" spans="1:8"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sheetData>
  <autoFilter ref="A6:H372"/>
  <mergeCells count="1">
    <mergeCell ref="A1:H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120B51-8557-4BB8-9C8F-407849809815}">
  <ds:schemaRefs>
    <ds:schemaRef ds:uri="http://schemas.microsoft.com/sharepoint/v3/contenttype/forms"/>
  </ds:schemaRefs>
</ds:datastoreItem>
</file>

<file path=customXml/itemProps2.xml><?xml version="1.0" encoding="utf-8"?>
<ds:datastoreItem xmlns:ds="http://schemas.openxmlformats.org/officeDocument/2006/customXml" ds:itemID="{F0A930C9-70D6-46C0-BE5A-7F3655C87803}">
  <ds:schemaRefs>
    <ds:schemaRef ds:uri="http://schemas.microsoft.com/office/2006/documentManagement/types"/>
    <ds:schemaRef ds:uri="http://schemas.openxmlformats.org/package/2006/metadata/core-properties"/>
    <ds:schemaRef ds:uri="http://purl.org/dc/terms/"/>
    <ds:schemaRef ds:uri="http://purl.org/dc/elements/1.1/"/>
    <ds:schemaRef ds:uri="http://www.w3.org/XML/1998/namespace"/>
    <ds:schemaRef ds:uri="http://purl.org/dc/dcmitype/"/>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7A295F1-531E-4C85-A316-F911CE8646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December 2017</vt:lpstr>
    </vt:vector>
  </TitlesOfParts>
  <Company>Noridian Healthcare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December 2017 PCL Additions and Updates</dc:title>
  <dc:subject>December 2017 PCL Additions and Updates</dc:subject>
  <dc:creator>Noridian Healthcare Solutions</dc:creator>
  <cp:keywords>December 2017 PCL Additions and Updates</cp:keywords>
  <cp:lastModifiedBy>Megan Schrock</cp:lastModifiedBy>
  <dcterms:created xsi:type="dcterms:W3CDTF">2017-09-05T20:33:43Z</dcterms:created>
  <dcterms:modified xsi:type="dcterms:W3CDTF">2018-02-22T21:53:09Z</dcterms:modified>
</cp:coreProperties>
</file>