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12949\Desktop\Web Request to update docs\"/>
    </mc:Choice>
  </mc:AlternateContent>
  <bookViews>
    <workbookView xWindow="0" yWindow="0" windowWidth="22125" windowHeight="9480"/>
  </bookViews>
  <sheets>
    <sheet name="August 2017" sheetId="1" r:id="rId1"/>
  </sheets>
  <definedNames>
    <definedName name="_xlnm._FilterDatabase" localSheetId="0" hidden="1">'August 2017'!$A$6:$H$358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F63" i="1"/>
  <c r="E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D60" i="1"/>
  <c r="C60" i="1"/>
  <c r="B60" i="1"/>
  <c r="G59" i="1"/>
  <c r="F59" i="1"/>
  <c r="E59" i="1"/>
  <c r="D59" i="1"/>
  <c r="C59" i="1"/>
  <c r="B59" i="1"/>
  <c r="G58" i="1"/>
  <c r="F58" i="1"/>
  <c r="E58" i="1"/>
  <c r="D58" i="1"/>
  <c r="C58" i="1"/>
  <c r="B58" i="1"/>
  <c r="G57" i="1"/>
  <c r="F57" i="1"/>
  <c r="E57" i="1"/>
  <c r="D57" i="1"/>
  <c r="C57" i="1"/>
  <c r="B57" i="1"/>
  <c r="H358" i="1"/>
  <c r="G358" i="1"/>
  <c r="F358" i="1"/>
  <c r="E358" i="1"/>
  <c r="C358" i="1"/>
  <c r="B358" i="1"/>
  <c r="H357" i="1"/>
  <c r="G357" i="1"/>
  <c r="F357" i="1"/>
  <c r="E357" i="1"/>
  <c r="C357" i="1"/>
  <c r="B357" i="1"/>
  <c r="H356" i="1"/>
  <c r="G356" i="1"/>
  <c r="F356" i="1"/>
  <c r="E356" i="1"/>
  <c r="C356" i="1"/>
  <c r="B356" i="1"/>
  <c r="H107" i="1"/>
  <c r="G107" i="1"/>
  <c r="F107" i="1"/>
  <c r="E107" i="1"/>
  <c r="D107" i="1"/>
  <c r="C107" i="1"/>
  <c r="B107" i="1"/>
  <c r="H106" i="1"/>
  <c r="G106" i="1"/>
  <c r="F106" i="1"/>
  <c r="E106" i="1"/>
  <c r="D106" i="1"/>
  <c r="C106" i="1"/>
  <c r="B106" i="1"/>
  <c r="H329" i="1"/>
  <c r="F329" i="1"/>
  <c r="E329" i="1"/>
  <c r="D329" i="1"/>
  <c r="C329" i="1"/>
  <c r="B329" i="1"/>
  <c r="H328" i="1"/>
  <c r="F328" i="1"/>
  <c r="E328" i="1"/>
  <c r="D328" i="1"/>
  <c r="C328" i="1"/>
  <c r="B328" i="1"/>
  <c r="H327" i="1"/>
  <c r="F327" i="1"/>
  <c r="E327" i="1"/>
  <c r="D327" i="1"/>
  <c r="C327" i="1"/>
  <c r="B327" i="1"/>
  <c r="H326" i="1"/>
  <c r="F326" i="1"/>
  <c r="E326" i="1"/>
  <c r="D326" i="1"/>
  <c r="C326" i="1"/>
  <c r="B326" i="1"/>
  <c r="H325" i="1"/>
  <c r="F325" i="1"/>
  <c r="E325" i="1"/>
  <c r="D325" i="1"/>
  <c r="C325" i="1"/>
  <c r="B325" i="1"/>
  <c r="H324" i="1"/>
  <c r="F324" i="1"/>
  <c r="E324" i="1"/>
  <c r="D324" i="1"/>
  <c r="C324" i="1"/>
  <c r="B324" i="1"/>
  <c r="H307" i="1"/>
  <c r="F307" i="1"/>
  <c r="E307" i="1"/>
  <c r="D307" i="1"/>
  <c r="C307" i="1"/>
  <c r="B307" i="1"/>
  <c r="H306" i="1"/>
  <c r="F306" i="1"/>
  <c r="E306" i="1"/>
  <c r="D306" i="1"/>
  <c r="C306" i="1"/>
  <c r="B306" i="1"/>
  <c r="H305" i="1"/>
  <c r="F305" i="1"/>
  <c r="E305" i="1"/>
  <c r="D305" i="1"/>
  <c r="C305" i="1"/>
  <c r="B305" i="1"/>
  <c r="H304" i="1"/>
  <c r="F304" i="1"/>
  <c r="E304" i="1"/>
  <c r="D304" i="1"/>
  <c r="C304" i="1"/>
  <c r="B304" i="1"/>
  <c r="H303" i="1"/>
  <c r="F303" i="1"/>
  <c r="E303" i="1"/>
  <c r="D303" i="1"/>
  <c r="C303" i="1"/>
  <c r="B303" i="1"/>
  <c r="H302" i="1"/>
  <c r="F302" i="1"/>
  <c r="E302" i="1"/>
  <c r="D302" i="1"/>
  <c r="C302" i="1"/>
  <c r="B302" i="1"/>
  <c r="H157" i="1"/>
  <c r="F157" i="1"/>
  <c r="E157" i="1"/>
  <c r="D157" i="1"/>
  <c r="C157" i="1"/>
  <c r="B157" i="1"/>
  <c r="H85" i="1"/>
  <c r="F85" i="1"/>
  <c r="E85" i="1"/>
  <c r="D85" i="1"/>
  <c r="C85" i="1"/>
  <c r="B85" i="1"/>
  <c r="H84" i="1"/>
  <c r="F84" i="1"/>
  <c r="E84" i="1"/>
  <c r="D84" i="1"/>
  <c r="C84" i="1"/>
  <c r="B84" i="1"/>
  <c r="H97" i="1"/>
  <c r="F97" i="1"/>
  <c r="E97" i="1"/>
  <c r="D97" i="1"/>
  <c r="C97" i="1"/>
  <c r="B97" i="1"/>
  <c r="H94" i="1"/>
  <c r="F94" i="1"/>
  <c r="E94" i="1"/>
  <c r="D94" i="1"/>
  <c r="C94" i="1"/>
  <c r="B94" i="1"/>
  <c r="H93" i="1"/>
  <c r="F93" i="1"/>
  <c r="E93" i="1"/>
  <c r="D93" i="1"/>
  <c r="C93" i="1"/>
  <c r="B93" i="1"/>
  <c r="H103" i="1"/>
  <c r="F103" i="1"/>
  <c r="E103" i="1"/>
  <c r="D103" i="1"/>
  <c r="C103" i="1"/>
  <c r="B103" i="1"/>
  <c r="H102" i="1"/>
  <c r="F102" i="1"/>
  <c r="E102" i="1"/>
  <c r="D102" i="1"/>
  <c r="C102" i="1"/>
  <c r="B102" i="1"/>
  <c r="H101" i="1"/>
  <c r="F101" i="1"/>
  <c r="E101" i="1"/>
  <c r="D101" i="1"/>
  <c r="C101" i="1"/>
  <c r="B101" i="1"/>
  <c r="H100" i="1"/>
  <c r="F100" i="1"/>
  <c r="E100" i="1"/>
  <c r="D100" i="1"/>
  <c r="C100" i="1"/>
  <c r="B100" i="1"/>
  <c r="H249" i="1"/>
  <c r="F249" i="1"/>
  <c r="E249" i="1"/>
  <c r="D249" i="1"/>
  <c r="C249" i="1"/>
  <c r="B249" i="1"/>
  <c r="H248" i="1"/>
  <c r="F248" i="1"/>
  <c r="E248" i="1"/>
  <c r="D248" i="1"/>
  <c r="C248" i="1"/>
  <c r="B248" i="1"/>
  <c r="H247" i="1"/>
  <c r="F247" i="1"/>
  <c r="E247" i="1"/>
  <c r="D247" i="1"/>
  <c r="C247" i="1"/>
  <c r="B247" i="1"/>
  <c r="H246" i="1"/>
  <c r="F246" i="1"/>
  <c r="E246" i="1"/>
  <c r="D246" i="1"/>
  <c r="C246" i="1"/>
  <c r="B246" i="1"/>
  <c r="H245" i="1"/>
  <c r="F245" i="1"/>
  <c r="E245" i="1"/>
  <c r="D245" i="1"/>
  <c r="C245" i="1"/>
  <c r="B245" i="1"/>
  <c r="H244" i="1"/>
  <c r="F244" i="1"/>
  <c r="E244" i="1"/>
  <c r="D244" i="1"/>
  <c r="C244" i="1"/>
  <c r="B244" i="1"/>
  <c r="H243" i="1"/>
  <c r="F243" i="1"/>
  <c r="E243" i="1"/>
  <c r="D243" i="1"/>
  <c r="C243" i="1"/>
  <c r="B243" i="1"/>
  <c r="H242" i="1"/>
  <c r="F242" i="1"/>
  <c r="E242" i="1"/>
  <c r="D242" i="1"/>
  <c r="C242" i="1"/>
  <c r="B242" i="1"/>
  <c r="H241" i="1"/>
  <c r="F241" i="1"/>
  <c r="E241" i="1"/>
  <c r="D241" i="1"/>
  <c r="C241" i="1"/>
  <c r="B241" i="1"/>
  <c r="H240" i="1"/>
  <c r="F240" i="1"/>
  <c r="E240" i="1"/>
  <c r="D240" i="1"/>
  <c r="C240" i="1"/>
  <c r="B240" i="1"/>
  <c r="H239" i="1"/>
  <c r="F239" i="1"/>
  <c r="E239" i="1"/>
  <c r="D239" i="1"/>
  <c r="C239" i="1"/>
  <c r="B239" i="1"/>
  <c r="H238" i="1"/>
  <c r="F238" i="1"/>
  <c r="E238" i="1"/>
  <c r="D238" i="1"/>
  <c r="C238" i="1"/>
  <c r="B238" i="1"/>
  <c r="H124" i="1"/>
  <c r="F124" i="1"/>
  <c r="E124" i="1"/>
  <c r="D124" i="1"/>
  <c r="C124" i="1"/>
  <c r="B124" i="1"/>
  <c r="H123" i="1"/>
  <c r="F123" i="1"/>
  <c r="E123" i="1"/>
  <c r="D123" i="1"/>
  <c r="C123" i="1"/>
  <c r="B123" i="1"/>
  <c r="H122" i="1"/>
  <c r="F122" i="1"/>
  <c r="E122" i="1"/>
  <c r="D122" i="1"/>
  <c r="C122" i="1"/>
  <c r="B122" i="1"/>
  <c r="H121" i="1"/>
  <c r="F121" i="1"/>
  <c r="E121" i="1"/>
  <c r="D121" i="1"/>
  <c r="C121" i="1"/>
  <c r="B121" i="1"/>
  <c r="H120" i="1"/>
  <c r="F120" i="1"/>
  <c r="E120" i="1"/>
  <c r="D120" i="1"/>
  <c r="C120" i="1"/>
  <c r="B120" i="1"/>
  <c r="H119" i="1"/>
  <c r="F119" i="1"/>
  <c r="E119" i="1"/>
  <c r="D119" i="1"/>
  <c r="C119" i="1"/>
  <c r="B119" i="1"/>
  <c r="H118" i="1"/>
  <c r="F118" i="1"/>
  <c r="E118" i="1"/>
  <c r="D118" i="1"/>
  <c r="C118" i="1"/>
  <c r="B118" i="1"/>
  <c r="H117" i="1"/>
  <c r="F117" i="1"/>
  <c r="E117" i="1"/>
  <c r="D117" i="1"/>
  <c r="C117" i="1"/>
  <c r="B117" i="1"/>
  <c r="H116" i="1"/>
  <c r="F116" i="1"/>
  <c r="E116" i="1"/>
  <c r="D116" i="1"/>
  <c r="C116" i="1"/>
  <c r="B116" i="1"/>
  <c r="H115" i="1"/>
  <c r="F115" i="1"/>
  <c r="E115" i="1"/>
  <c r="D115" i="1"/>
  <c r="C115" i="1"/>
  <c r="B115" i="1"/>
  <c r="H114" i="1"/>
  <c r="F114" i="1"/>
  <c r="E114" i="1"/>
  <c r="D114" i="1"/>
  <c r="C114" i="1"/>
  <c r="B114" i="1"/>
  <c r="H113" i="1"/>
  <c r="F113" i="1"/>
  <c r="E113" i="1"/>
  <c r="D113" i="1"/>
  <c r="C113" i="1"/>
  <c r="B113" i="1"/>
  <c r="H112" i="1"/>
  <c r="F112" i="1"/>
  <c r="E112" i="1"/>
  <c r="D112" i="1"/>
  <c r="C112" i="1"/>
  <c r="B112" i="1"/>
  <c r="H111" i="1"/>
  <c r="F111" i="1"/>
  <c r="E111" i="1"/>
  <c r="D111" i="1"/>
  <c r="C111" i="1"/>
  <c r="B111" i="1"/>
  <c r="H110" i="1"/>
  <c r="F110" i="1"/>
  <c r="E110" i="1"/>
  <c r="D110" i="1"/>
  <c r="C110" i="1"/>
  <c r="B110" i="1"/>
  <c r="H109" i="1"/>
  <c r="F109" i="1"/>
  <c r="E109" i="1"/>
  <c r="D109" i="1"/>
  <c r="C109" i="1"/>
  <c r="B109" i="1"/>
  <c r="H83" i="1"/>
  <c r="F83" i="1"/>
  <c r="E83" i="1"/>
  <c r="D83" i="1"/>
  <c r="C83" i="1"/>
  <c r="B83" i="1"/>
  <c r="H82" i="1"/>
  <c r="F82" i="1"/>
  <c r="E82" i="1"/>
  <c r="D82" i="1"/>
  <c r="C82" i="1"/>
  <c r="B82" i="1"/>
  <c r="H81" i="1"/>
  <c r="F81" i="1"/>
  <c r="E81" i="1"/>
  <c r="D81" i="1"/>
  <c r="C81" i="1"/>
  <c r="B81" i="1"/>
  <c r="H80" i="1"/>
  <c r="F80" i="1"/>
  <c r="E80" i="1"/>
  <c r="D80" i="1"/>
  <c r="C80" i="1"/>
  <c r="B80" i="1"/>
  <c r="H79" i="1"/>
  <c r="F79" i="1"/>
  <c r="E79" i="1"/>
  <c r="D79" i="1"/>
  <c r="C79" i="1"/>
  <c r="B79" i="1"/>
  <c r="H78" i="1"/>
  <c r="F78" i="1"/>
  <c r="E78" i="1"/>
  <c r="D78" i="1"/>
  <c r="C78" i="1"/>
  <c r="B78" i="1"/>
  <c r="H77" i="1"/>
  <c r="F77" i="1"/>
  <c r="E77" i="1"/>
  <c r="D77" i="1"/>
  <c r="C77" i="1"/>
  <c r="B77" i="1"/>
  <c r="H76" i="1"/>
  <c r="F76" i="1"/>
  <c r="E76" i="1"/>
  <c r="D76" i="1"/>
  <c r="C76" i="1"/>
  <c r="B76" i="1"/>
  <c r="H75" i="1"/>
  <c r="F75" i="1"/>
  <c r="E75" i="1"/>
  <c r="D75" i="1"/>
  <c r="C75" i="1"/>
  <c r="B75" i="1"/>
  <c r="H74" i="1"/>
  <c r="F74" i="1"/>
  <c r="E74" i="1"/>
  <c r="D74" i="1"/>
  <c r="C74" i="1"/>
  <c r="B74" i="1"/>
  <c r="H53" i="1"/>
  <c r="F53" i="1"/>
  <c r="E53" i="1"/>
  <c r="D53" i="1"/>
  <c r="C53" i="1"/>
  <c r="B53" i="1"/>
  <c r="H52" i="1"/>
  <c r="F52" i="1"/>
  <c r="E52" i="1"/>
  <c r="D52" i="1"/>
  <c r="C52" i="1"/>
  <c r="B52" i="1"/>
  <c r="H233" i="1"/>
  <c r="F233" i="1"/>
  <c r="E233" i="1"/>
  <c r="D233" i="1"/>
  <c r="C233" i="1"/>
  <c r="B233" i="1"/>
  <c r="H203" i="1"/>
  <c r="F203" i="1"/>
  <c r="E203" i="1"/>
  <c r="D203" i="1"/>
  <c r="C203" i="1"/>
  <c r="B203" i="1"/>
  <c r="H148" i="1"/>
  <c r="F148" i="1"/>
  <c r="E148" i="1"/>
  <c r="D148" i="1"/>
  <c r="C148" i="1"/>
  <c r="B148" i="1"/>
  <c r="H147" i="1"/>
  <c r="F147" i="1"/>
  <c r="E147" i="1"/>
  <c r="D147" i="1"/>
  <c r="C147" i="1"/>
  <c r="B147" i="1"/>
  <c r="H146" i="1"/>
  <c r="F146" i="1"/>
  <c r="E146" i="1"/>
  <c r="D146" i="1"/>
  <c r="C146" i="1"/>
  <c r="B146" i="1"/>
  <c r="H145" i="1"/>
  <c r="F145" i="1"/>
  <c r="E145" i="1"/>
  <c r="D145" i="1"/>
  <c r="C145" i="1"/>
  <c r="B145" i="1"/>
  <c r="H144" i="1"/>
  <c r="F144" i="1"/>
  <c r="E144" i="1"/>
  <c r="D144" i="1"/>
  <c r="C144" i="1"/>
  <c r="B144" i="1"/>
  <c r="H143" i="1"/>
  <c r="F143" i="1"/>
  <c r="E143" i="1"/>
  <c r="D143" i="1"/>
  <c r="C143" i="1"/>
  <c r="B143" i="1"/>
  <c r="H142" i="1"/>
  <c r="F142" i="1"/>
  <c r="E142" i="1"/>
  <c r="D142" i="1"/>
  <c r="C142" i="1"/>
  <c r="B142" i="1"/>
  <c r="H96" i="1"/>
  <c r="F96" i="1"/>
  <c r="E96" i="1"/>
  <c r="D96" i="1"/>
  <c r="C96" i="1"/>
  <c r="B96" i="1"/>
  <c r="H89" i="1"/>
  <c r="F89" i="1"/>
  <c r="E89" i="1"/>
  <c r="D89" i="1"/>
  <c r="C89" i="1"/>
  <c r="B89" i="1"/>
  <c r="H88" i="1"/>
  <c r="F88" i="1"/>
  <c r="E88" i="1"/>
  <c r="D88" i="1"/>
  <c r="C88" i="1"/>
  <c r="B88" i="1"/>
  <c r="H73" i="1"/>
  <c r="F73" i="1"/>
  <c r="E73" i="1"/>
  <c r="D73" i="1"/>
  <c r="C73" i="1"/>
  <c r="B73" i="1"/>
  <c r="H72" i="1"/>
  <c r="F72" i="1"/>
  <c r="E72" i="1"/>
  <c r="D72" i="1"/>
  <c r="C72" i="1"/>
  <c r="B72" i="1"/>
  <c r="H71" i="1"/>
  <c r="F71" i="1"/>
  <c r="E71" i="1"/>
  <c r="D71" i="1"/>
  <c r="C71" i="1"/>
  <c r="B71" i="1"/>
  <c r="H70" i="1"/>
  <c r="F70" i="1"/>
  <c r="E70" i="1"/>
  <c r="D70" i="1"/>
  <c r="C70" i="1"/>
  <c r="B70" i="1"/>
  <c r="H54" i="1"/>
  <c r="F54" i="1"/>
  <c r="E54" i="1"/>
  <c r="D54" i="1"/>
  <c r="C54" i="1"/>
  <c r="B54" i="1"/>
  <c r="H51" i="1"/>
  <c r="F51" i="1"/>
  <c r="E51" i="1"/>
  <c r="D51" i="1"/>
  <c r="C51" i="1"/>
  <c r="B51" i="1"/>
  <c r="H50" i="1"/>
  <c r="F50" i="1"/>
  <c r="E50" i="1"/>
  <c r="D50" i="1"/>
  <c r="C50" i="1"/>
  <c r="B50" i="1"/>
  <c r="H16" i="1"/>
  <c r="F16" i="1"/>
  <c r="E16" i="1"/>
  <c r="D16" i="1"/>
  <c r="C16" i="1"/>
  <c r="B16" i="1"/>
  <c r="H15" i="1"/>
  <c r="F15" i="1"/>
  <c r="E15" i="1"/>
  <c r="D15" i="1"/>
  <c r="C15" i="1"/>
  <c r="B15" i="1"/>
  <c r="H14" i="1"/>
  <c r="F14" i="1"/>
  <c r="E14" i="1"/>
  <c r="D14" i="1"/>
  <c r="C14" i="1"/>
  <c r="B14" i="1"/>
  <c r="H13" i="1"/>
  <c r="F13" i="1"/>
  <c r="E13" i="1"/>
  <c r="D13" i="1"/>
  <c r="C13" i="1"/>
  <c r="B13" i="1"/>
  <c r="H12" i="1"/>
  <c r="F12" i="1"/>
  <c r="E12" i="1"/>
  <c r="D12" i="1"/>
  <c r="C12" i="1"/>
  <c r="B12" i="1"/>
  <c r="H275" i="1"/>
  <c r="F275" i="1"/>
  <c r="E275" i="1"/>
  <c r="D275" i="1"/>
  <c r="C275" i="1"/>
  <c r="B275" i="1"/>
  <c r="H274" i="1"/>
  <c r="F274" i="1"/>
  <c r="E274" i="1"/>
  <c r="D274" i="1"/>
  <c r="C274" i="1"/>
  <c r="B274" i="1"/>
  <c r="H273" i="1"/>
  <c r="F273" i="1"/>
  <c r="E273" i="1"/>
  <c r="D273" i="1"/>
  <c r="C273" i="1"/>
  <c r="B273" i="1"/>
  <c r="H272" i="1"/>
  <c r="F272" i="1"/>
  <c r="E272" i="1"/>
  <c r="D272" i="1"/>
  <c r="C272" i="1"/>
  <c r="B272" i="1"/>
  <c r="H271" i="1"/>
  <c r="F271" i="1"/>
  <c r="E271" i="1"/>
  <c r="D271" i="1"/>
  <c r="C271" i="1"/>
  <c r="B271" i="1"/>
  <c r="H270" i="1"/>
  <c r="F270" i="1"/>
  <c r="E270" i="1"/>
  <c r="D270" i="1"/>
  <c r="C270" i="1"/>
  <c r="B270" i="1"/>
  <c r="H269" i="1"/>
  <c r="F269" i="1"/>
  <c r="E269" i="1"/>
  <c r="D269" i="1"/>
  <c r="C269" i="1"/>
  <c r="B269" i="1"/>
  <c r="H268" i="1"/>
  <c r="F268" i="1"/>
  <c r="E268" i="1"/>
  <c r="D268" i="1"/>
  <c r="C268" i="1"/>
  <c r="B268" i="1"/>
  <c r="H267" i="1"/>
  <c r="F267" i="1"/>
  <c r="E267" i="1"/>
  <c r="D267" i="1"/>
  <c r="C267" i="1"/>
  <c r="B267" i="1"/>
  <c r="H266" i="1"/>
  <c r="F266" i="1"/>
  <c r="E266" i="1"/>
  <c r="D266" i="1"/>
  <c r="C266" i="1"/>
  <c r="B266" i="1"/>
  <c r="H224" i="1"/>
  <c r="F224" i="1"/>
  <c r="E224" i="1"/>
  <c r="D224" i="1"/>
  <c r="C224" i="1"/>
  <c r="B224" i="1"/>
  <c r="H223" i="1"/>
  <c r="F223" i="1"/>
  <c r="E223" i="1"/>
  <c r="D223" i="1"/>
  <c r="C223" i="1"/>
  <c r="B223" i="1"/>
  <c r="H222" i="1"/>
  <c r="F222" i="1"/>
  <c r="E222" i="1"/>
  <c r="D222" i="1"/>
  <c r="C222" i="1"/>
  <c r="B222" i="1"/>
  <c r="H221" i="1"/>
  <c r="F221" i="1"/>
  <c r="E221" i="1"/>
  <c r="D221" i="1"/>
  <c r="C221" i="1"/>
  <c r="B221" i="1"/>
  <c r="H236" i="1"/>
  <c r="H235" i="1"/>
  <c r="H231" i="1"/>
  <c r="H140" i="1"/>
  <c r="H92" i="1"/>
  <c r="H91" i="1"/>
  <c r="H87" i="1"/>
  <c r="H86" i="1"/>
  <c r="H49" i="1"/>
  <c r="H48" i="1"/>
  <c r="H47" i="1"/>
  <c r="H46" i="1"/>
  <c r="H45" i="1"/>
  <c r="H44" i="1"/>
  <c r="H43" i="1"/>
  <c r="H42" i="1"/>
  <c r="H41" i="1"/>
  <c r="H30" i="1"/>
  <c r="H29" i="1"/>
  <c r="H28" i="1"/>
  <c r="H27" i="1"/>
  <c r="H26" i="1"/>
  <c r="H25" i="1"/>
  <c r="H24" i="1"/>
  <c r="H23" i="1"/>
  <c r="H22" i="1"/>
  <c r="H21" i="1"/>
  <c r="H9" i="1"/>
  <c r="H8" i="1"/>
  <c r="H7" i="1"/>
  <c r="H355" i="1"/>
  <c r="F355" i="1"/>
  <c r="E355" i="1"/>
  <c r="D355" i="1"/>
  <c r="C355" i="1"/>
  <c r="B355" i="1"/>
  <c r="H323" i="1"/>
  <c r="F323" i="1"/>
  <c r="E323" i="1"/>
  <c r="D323" i="1"/>
  <c r="C323" i="1"/>
  <c r="B323" i="1"/>
  <c r="H322" i="1"/>
  <c r="F322" i="1"/>
  <c r="E322" i="1"/>
  <c r="D322" i="1"/>
  <c r="C322" i="1"/>
  <c r="B322" i="1"/>
  <c r="H321" i="1"/>
  <c r="F321" i="1"/>
  <c r="E321" i="1"/>
  <c r="D321" i="1"/>
  <c r="C321" i="1"/>
  <c r="B321" i="1"/>
  <c r="H320" i="1"/>
  <c r="F320" i="1"/>
  <c r="E320" i="1"/>
  <c r="D320" i="1"/>
  <c r="C320" i="1"/>
  <c r="B320" i="1"/>
  <c r="H319" i="1"/>
  <c r="F319" i="1"/>
  <c r="E319" i="1"/>
  <c r="D319" i="1"/>
  <c r="C319" i="1"/>
  <c r="B319" i="1"/>
  <c r="H318" i="1"/>
  <c r="F318" i="1"/>
  <c r="E318" i="1"/>
  <c r="D318" i="1"/>
  <c r="C318" i="1"/>
  <c r="B318" i="1"/>
  <c r="H301" i="1"/>
  <c r="F301" i="1"/>
  <c r="E301" i="1"/>
  <c r="D301" i="1"/>
  <c r="C301" i="1"/>
  <c r="B301" i="1"/>
  <c r="H300" i="1"/>
  <c r="F300" i="1"/>
  <c r="E300" i="1"/>
  <c r="D300" i="1"/>
  <c r="C300" i="1"/>
  <c r="B300" i="1"/>
  <c r="H299" i="1"/>
  <c r="F299" i="1"/>
  <c r="E299" i="1"/>
  <c r="D299" i="1"/>
  <c r="C299" i="1"/>
  <c r="B299" i="1"/>
  <c r="H298" i="1"/>
  <c r="F298" i="1"/>
  <c r="E298" i="1"/>
  <c r="D298" i="1"/>
  <c r="C298" i="1"/>
  <c r="B298" i="1"/>
  <c r="H297" i="1"/>
  <c r="F297" i="1"/>
  <c r="E297" i="1"/>
  <c r="D297" i="1"/>
  <c r="C297" i="1"/>
  <c r="B297" i="1"/>
  <c r="H296" i="1"/>
  <c r="F296" i="1"/>
  <c r="E296" i="1"/>
  <c r="D296" i="1"/>
  <c r="C296" i="1"/>
  <c r="B296" i="1"/>
  <c r="H295" i="1"/>
  <c r="F295" i="1"/>
  <c r="E295" i="1"/>
  <c r="D295" i="1"/>
  <c r="C295" i="1"/>
  <c r="B295" i="1"/>
  <c r="H294" i="1"/>
  <c r="F294" i="1"/>
  <c r="E294" i="1"/>
  <c r="D294" i="1"/>
  <c r="C294" i="1"/>
  <c r="B294" i="1"/>
  <c r="H293" i="1"/>
  <c r="F293" i="1"/>
  <c r="E293" i="1"/>
  <c r="D293" i="1"/>
  <c r="C293" i="1"/>
  <c r="B293" i="1"/>
  <c r="H292" i="1"/>
  <c r="F292" i="1"/>
  <c r="E292" i="1"/>
  <c r="D292" i="1"/>
  <c r="C292" i="1"/>
  <c r="B292" i="1"/>
  <c r="H257" i="1"/>
  <c r="F257" i="1"/>
  <c r="E257" i="1"/>
  <c r="D257" i="1"/>
  <c r="C257" i="1"/>
  <c r="B257" i="1"/>
  <c r="H227" i="1"/>
  <c r="F227" i="1"/>
  <c r="E227" i="1"/>
  <c r="D227" i="1"/>
  <c r="C227" i="1"/>
  <c r="B227" i="1"/>
  <c r="H220" i="1"/>
  <c r="F220" i="1"/>
  <c r="E220" i="1"/>
  <c r="D220" i="1"/>
  <c r="C220" i="1"/>
  <c r="B220" i="1"/>
  <c r="H219" i="1"/>
  <c r="F219" i="1"/>
  <c r="E219" i="1"/>
  <c r="D219" i="1"/>
  <c r="C219" i="1"/>
  <c r="B219" i="1"/>
  <c r="H218" i="1"/>
  <c r="F218" i="1"/>
  <c r="E218" i="1"/>
  <c r="D218" i="1"/>
  <c r="C218" i="1"/>
  <c r="B218" i="1"/>
  <c r="H139" i="1"/>
  <c r="F139" i="1"/>
  <c r="E139" i="1"/>
  <c r="D139" i="1"/>
  <c r="C139" i="1"/>
  <c r="B139" i="1"/>
  <c r="H138" i="1"/>
  <c r="F138" i="1"/>
  <c r="E138" i="1"/>
  <c r="D138" i="1"/>
  <c r="C138" i="1"/>
  <c r="B138" i="1"/>
  <c r="H137" i="1"/>
  <c r="F137" i="1"/>
  <c r="E137" i="1"/>
  <c r="D137" i="1"/>
  <c r="C137" i="1"/>
  <c r="B137" i="1"/>
  <c r="H136" i="1"/>
  <c r="F136" i="1"/>
  <c r="E136" i="1"/>
  <c r="D136" i="1"/>
  <c r="C136" i="1"/>
  <c r="B136" i="1"/>
  <c r="H69" i="1"/>
  <c r="F69" i="1"/>
  <c r="E69" i="1"/>
  <c r="D69" i="1"/>
  <c r="C69" i="1"/>
  <c r="B69" i="1"/>
  <c r="H18" i="1"/>
  <c r="F18" i="1"/>
  <c r="E18" i="1"/>
  <c r="D18" i="1"/>
  <c r="C18" i="1"/>
  <c r="B18" i="1"/>
  <c r="H17" i="1"/>
  <c r="F17" i="1"/>
  <c r="E17" i="1"/>
  <c r="D17" i="1"/>
  <c r="C17" i="1"/>
  <c r="B17" i="1"/>
  <c r="H334" i="1"/>
  <c r="F334" i="1"/>
  <c r="E334" i="1"/>
  <c r="D334" i="1"/>
  <c r="C334" i="1"/>
  <c r="B334" i="1"/>
  <c r="H333" i="1"/>
  <c r="F333" i="1"/>
  <c r="E333" i="1"/>
  <c r="D333" i="1"/>
  <c r="C333" i="1"/>
  <c r="B333" i="1"/>
  <c r="H332" i="1"/>
  <c r="F332" i="1"/>
  <c r="E332" i="1"/>
  <c r="D332" i="1"/>
  <c r="C332" i="1"/>
  <c r="B332" i="1"/>
  <c r="H331" i="1"/>
  <c r="F331" i="1"/>
  <c r="E331" i="1"/>
  <c r="D331" i="1"/>
  <c r="C331" i="1"/>
  <c r="B331" i="1"/>
  <c r="H330" i="1"/>
  <c r="F330" i="1"/>
  <c r="E330" i="1"/>
  <c r="D330" i="1"/>
  <c r="C330" i="1"/>
  <c r="B330" i="1"/>
  <c r="H237" i="1"/>
  <c r="F237" i="1"/>
  <c r="E237" i="1"/>
  <c r="D237" i="1"/>
  <c r="C237" i="1"/>
  <c r="B237" i="1"/>
  <c r="H190" i="1"/>
  <c r="F190" i="1"/>
  <c r="E190" i="1"/>
  <c r="D190" i="1"/>
  <c r="C190" i="1"/>
  <c r="B190" i="1"/>
  <c r="H189" i="1"/>
  <c r="F189" i="1"/>
  <c r="E189" i="1"/>
  <c r="D189" i="1"/>
  <c r="C189" i="1"/>
  <c r="B189" i="1"/>
  <c r="H188" i="1"/>
  <c r="F188" i="1"/>
  <c r="E188" i="1"/>
  <c r="D188" i="1"/>
  <c r="C188" i="1"/>
  <c r="B188" i="1"/>
  <c r="H187" i="1"/>
  <c r="F187" i="1"/>
  <c r="E187" i="1"/>
  <c r="D187" i="1"/>
  <c r="C187" i="1"/>
  <c r="B187" i="1"/>
  <c r="H186" i="1"/>
  <c r="F186" i="1"/>
  <c r="E186" i="1"/>
  <c r="D186" i="1"/>
  <c r="C186" i="1"/>
  <c r="B186" i="1"/>
  <c r="H185" i="1"/>
  <c r="F185" i="1"/>
  <c r="E185" i="1"/>
  <c r="D185" i="1"/>
  <c r="C185" i="1"/>
  <c r="B185" i="1"/>
  <c r="H184" i="1"/>
  <c r="F184" i="1"/>
  <c r="E184" i="1"/>
  <c r="D184" i="1"/>
  <c r="C184" i="1"/>
  <c r="B184" i="1"/>
  <c r="H183" i="1"/>
  <c r="F183" i="1"/>
  <c r="E183" i="1"/>
  <c r="D183" i="1"/>
  <c r="C183" i="1"/>
  <c r="B183" i="1"/>
  <c r="H182" i="1"/>
  <c r="F182" i="1"/>
  <c r="E182" i="1"/>
  <c r="D182" i="1"/>
  <c r="C182" i="1"/>
  <c r="B182" i="1"/>
  <c r="H181" i="1"/>
  <c r="F181" i="1"/>
  <c r="E181" i="1"/>
  <c r="D181" i="1"/>
  <c r="C181" i="1"/>
  <c r="B181" i="1"/>
  <c r="H180" i="1"/>
  <c r="F180" i="1"/>
  <c r="E180" i="1"/>
  <c r="D180" i="1"/>
  <c r="C180" i="1"/>
  <c r="B180" i="1"/>
  <c r="H179" i="1"/>
  <c r="F179" i="1"/>
  <c r="E179" i="1"/>
  <c r="D179" i="1"/>
  <c r="C179" i="1"/>
  <c r="B179" i="1"/>
  <c r="H165" i="1"/>
  <c r="F165" i="1"/>
  <c r="E165" i="1"/>
  <c r="D165" i="1"/>
  <c r="C165" i="1"/>
  <c r="B165" i="1"/>
  <c r="H56" i="1"/>
  <c r="F56" i="1"/>
  <c r="E56" i="1"/>
  <c r="D56" i="1"/>
  <c r="C56" i="1"/>
  <c r="B56" i="1"/>
  <c r="H55" i="1"/>
  <c r="F55" i="1"/>
  <c r="E55" i="1"/>
  <c r="D55" i="1"/>
  <c r="C55" i="1"/>
  <c r="B55" i="1"/>
  <c r="H20" i="1"/>
  <c r="F20" i="1"/>
  <c r="E20" i="1"/>
  <c r="D20" i="1"/>
  <c r="C20" i="1"/>
  <c r="B20" i="1"/>
  <c r="H19" i="1"/>
  <c r="F19" i="1"/>
  <c r="E19" i="1"/>
  <c r="D19" i="1"/>
  <c r="C19" i="1"/>
  <c r="B19" i="1"/>
  <c r="H11" i="1"/>
  <c r="F11" i="1"/>
  <c r="E11" i="1"/>
  <c r="D11" i="1"/>
  <c r="C11" i="1"/>
  <c r="B11" i="1"/>
  <c r="H10" i="1"/>
  <c r="F10" i="1"/>
  <c r="E10" i="1"/>
  <c r="D10" i="1"/>
  <c r="C10" i="1"/>
  <c r="B10" i="1"/>
  <c r="H353" i="1"/>
  <c r="F353" i="1"/>
  <c r="E353" i="1"/>
  <c r="D353" i="1"/>
  <c r="C353" i="1"/>
  <c r="B353" i="1"/>
  <c r="H352" i="1"/>
  <c r="F352" i="1"/>
  <c r="E352" i="1"/>
  <c r="D352" i="1"/>
  <c r="C352" i="1"/>
  <c r="B352" i="1"/>
  <c r="H351" i="1"/>
  <c r="F351" i="1"/>
  <c r="E351" i="1"/>
  <c r="D351" i="1"/>
  <c r="C351" i="1"/>
  <c r="B351" i="1"/>
  <c r="H350" i="1"/>
  <c r="F350" i="1"/>
  <c r="E350" i="1"/>
  <c r="D350" i="1"/>
  <c r="C350" i="1"/>
  <c r="B350" i="1"/>
  <c r="H349" i="1"/>
  <c r="F349" i="1"/>
  <c r="E349" i="1"/>
  <c r="D349" i="1"/>
  <c r="C349" i="1"/>
  <c r="B349" i="1"/>
  <c r="H348" i="1"/>
  <c r="F348" i="1"/>
  <c r="E348" i="1"/>
  <c r="D348" i="1"/>
  <c r="C348" i="1"/>
  <c r="B348" i="1"/>
  <c r="H347" i="1"/>
  <c r="F347" i="1"/>
  <c r="E347" i="1"/>
  <c r="D347" i="1"/>
  <c r="C347" i="1"/>
  <c r="B347" i="1"/>
  <c r="H346" i="1"/>
  <c r="F346" i="1"/>
  <c r="E346" i="1"/>
  <c r="D346" i="1"/>
  <c r="C346" i="1"/>
  <c r="B346" i="1"/>
  <c r="H345" i="1"/>
  <c r="F345" i="1"/>
  <c r="E345" i="1"/>
  <c r="D345" i="1"/>
  <c r="C345" i="1"/>
  <c r="B345" i="1"/>
  <c r="H344" i="1"/>
  <c r="F344" i="1"/>
  <c r="E344" i="1"/>
  <c r="D344" i="1"/>
  <c r="C344" i="1"/>
  <c r="B344" i="1"/>
  <c r="H343" i="1"/>
  <c r="F343" i="1"/>
  <c r="E343" i="1"/>
  <c r="D343" i="1"/>
  <c r="C343" i="1"/>
  <c r="B343" i="1"/>
  <c r="H342" i="1"/>
  <c r="F342" i="1"/>
  <c r="E342" i="1"/>
  <c r="D342" i="1"/>
  <c r="C342" i="1"/>
  <c r="B342" i="1"/>
  <c r="H341" i="1"/>
  <c r="F341" i="1"/>
  <c r="E341" i="1"/>
  <c r="D341" i="1"/>
  <c r="C341" i="1"/>
  <c r="B341" i="1"/>
  <c r="H340" i="1"/>
  <c r="F340" i="1"/>
  <c r="E340" i="1"/>
  <c r="D340" i="1"/>
  <c r="C340" i="1"/>
  <c r="B340" i="1"/>
  <c r="H339" i="1"/>
  <c r="F339" i="1"/>
  <c r="E339" i="1"/>
  <c r="D339" i="1"/>
  <c r="C339" i="1"/>
  <c r="B339" i="1"/>
  <c r="H338" i="1"/>
  <c r="F338" i="1"/>
  <c r="E338" i="1"/>
  <c r="D338" i="1"/>
  <c r="C338" i="1"/>
  <c r="B338" i="1"/>
  <c r="H354" i="1"/>
  <c r="F354" i="1"/>
  <c r="E354" i="1"/>
  <c r="D354" i="1"/>
  <c r="C354" i="1"/>
  <c r="B354" i="1"/>
  <c r="H291" i="1"/>
  <c r="F291" i="1"/>
  <c r="E291" i="1"/>
  <c r="D291" i="1"/>
  <c r="C291" i="1"/>
  <c r="B291" i="1"/>
  <c r="H290" i="1"/>
  <c r="F290" i="1"/>
  <c r="E290" i="1"/>
  <c r="D290" i="1"/>
  <c r="C290" i="1"/>
  <c r="B290" i="1"/>
  <c r="H283" i="1"/>
  <c r="F283" i="1"/>
  <c r="E283" i="1"/>
  <c r="D283" i="1"/>
  <c r="C283" i="1"/>
  <c r="B283" i="1"/>
  <c r="H317" i="1"/>
  <c r="F317" i="1"/>
  <c r="E317" i="1"/>
  <c r="D317" i="1"/>
  <c r="C317" i="1"/>
  <c r="B317" i="1"/>
  <c r="H316" i="1"/>
  <c r="F316" i="1"/>
  <c r="E316" i="1"/>
  <c r="D316" i="1"/>
  <c r="C316" i="1"/>
  <c r="B316" i="1"/>
  <c r="H315" i="1"/>
  <c r="F315" i="1"/>
  <c r="E315" i="1"/>
  <c r="D315" i="1"/>
  <c r="C315" i="1"/>
  <c r="B315" i="1"/>
  <c r="H314" i="1"/>
  <c r="F314" i="1"/>
  <c r="E314" i="1"/>
  <c r="D314" i="1"/>
  <c r="C314" i="1"/>
  <c r="B314" i="1"/>
  <c r="H313" i="1"/>
  <c r="F313" i="1"/>
  <c r="E313" i="1"/>
  <c r="D313" i="1"/>
  <c r="C313" i="1"/>
  <c r="B313" i="1"/>
  <c r="H265" i="1"/>
  <c r="F265" i="1"/>
  <c r="E265" i="1"/>
  <c r="D265" i="1"/>
  <c r="C265" i="1"/>
  <c r="B265" i="1"/>
  <c r="H264" i="1"/>
  <c r="F264" i="1"/>
  <c r="E264" i="1"/>
  <c r="D264" i="1"/>
  <c r="C264" i="1"/>
  <c r="B264" i="1"/>
  <c r="H263" i="1"/>
  <c r="F263" i="1"/>
  <c r="E263" i="1"/>
  <c r="D263" i="1"/>
  <c r="C263" i="1"/>
  <c r="B263" i="1"/>
  <c r="H262" i="1"/>
  <c r="F262" i="1"/>
  <c r="E262" i="1"/>
  <c r="D262" i="1"/>
  <c r="C262" i="1"/>
  <c r="B262" i="1"/>
  <c r="H261" i="1"/>
  <c r="F261" i="1"/>
  <c r="E261" i="1"/>
  <c r="D261" i="1"/>
  <c r="C261" i="1"/>
  <c r="B261" i="1"/>
  <c r="H260" i="1"/>
  <c r="F260" i="1"/>
  <c r="E260" i="1"/>
  <c r="D260" i="1"/>
  <c r="C260" i="1"/>
  <c r="B260" i="1"/>
  <c r="H259" i="1"/>
  <c r="F259" i="1"/>
  <c r="E259" i="1"/>
  <c r="D259" i="1"/>
  <c r="C259" i="1"/>
  <c r="B259" i="1"/>
  <c r="H258" i="1"/>
  <c r="F258" i="1"/>
  <c r="E258" i="1"/>
  <c r="D258" i="1"/>
  <c r="C258" i="1"/>
  <c r="B258" i="1"/>
  <c r="H230" i="1"/>
  <c r="F230" i="1"/>
  <c r="E230" i="1"/>
  <c r="D230" i="1"/>
  <c r="C230" i="1"/>
  <c r="B230" i="1"/>
  <c r="H226" i="1"/>
  <c r="F226" i="1"/>
  <c r="E226" i="1"/>
  <c r="D226" i="1"/>
  <c r="C226" i="1"/>
  <c r="B226" i="1"/>
  <c r="H160" i="1"/>
  <c r="F160" i="1"/>
  <c r="E160" i="1"/>
  <c r="D160" i="1"/>
  <c r="C160" i="1"/>
  <c r="B160" i="1"/>
  <c r="H159" i="1"/>
  <c r="F159" i="1"/>
  <c r="E159" i="1"/>
  <c r="D159" i="1"/>
  <c r="C159" i="1"/>
  <c r="B159" i="1"/>
  <c r="H158" i="1"/>
  <c r="F158" i="1"/>
  <c r="E158" i="1"/>
  <c r="D158" i="1"/>
  <c r="C158" i="1"/>
  <c r="B158" i="1"/>
  <c r="H68" i="1"/>
  <c r="F68" i="1"/>
  <c r="E68" i="1"/>
  <c r="D68" i="1"/>
  <c r="C68" i="1"/>
  <c r="B68" i="1"/>
  <c r="H312" i="1"/>
  <c r="F312" i="1"/>
  <c r="E312" i="1"/>
  <c r="D312" i="1"/>
  <c r="C312" i="1"/>
  <c r="B312" i="1"/>
  <c r="H311" i="1"/>
  <c r="F311" i="1"/>
  <c r="E311" i="1"/>
  <c r="D311" i="1"/>
  <c r="C311" i="1"/>
  <c r="B311" i="1"/>
  <c r="H310" i="1"/>
  <c r="F310" i="1"/>
  <c r="E310" i="1"/>
  <c r="D310" i="1"/>
  <c r="C310" i="1"/>
  <c r="B310" i="1"/>
  <c r="H309" i="1"/>
  <c r="F309" i="1"/>
  <c r="E309" i="1"/>
  <c r="D309" i="1"/>
  <c r="C309" i="1"/>
  <c r="B309" i="1"/>
  <c r="H308" i="1"/>
  <c r="F308" i="1"/>
  <c r="E308" i="1"/>
  <c r="D308" i="1"/>
  <c r="C308" i="1"/>
  <c r="B308" i="1"/>
  <c r="H289" i="1"/>
  <c r="F289" i="1"/>
  <c r="E289" i="1"/>
  <c r="D289" i="1"/>
  <c r="C289" i="1"/>
  <c r="B289" i="1"/>
  <c r="H288" i="1"/>
  <c r="F288" i="1"/>
  <c r="E288" i="1"/>
  <c r="D288" i="1"/>
  <c r="C288" i="1"/>
  <c r="B288" i="1"/>
  <c r="H278" i="1"/>
  <c r="F278" i="1"/>
  <c r="E278" i="1"/>
  <c r="D278" i="1"/>
  <c r="C278" i="1"/>
  <c r="B278" i="1"/>
  <c r="H277" i="1"/>
  <c r="F277" i="1"/>
  <c r="E277" i="1"/>
  <c r="D277" i="1"/>
  <c r="C277" i="1"/>
  <c r="B277" i="1"/>
  <c r="H276" i="1"/>
  <c r="F276" i="1"/>
  <c r="E276" i="1"/>
  <c r="D276" i="1"/>
  <c r="C276" i="1"/>
  <c r="B276" i="1"/>
  <c r="H173" i="1"/>
  <c r="F173" i="1"/>
  <c r="E173" i="1"/>
  <c r="D173" i="1"/>
  <c r="C173" i="1"/>
  <c r="B173" i="1"/>
  <c r="H135" i="1"/>
  <c r="F135" i="1"/>
  <c r="E135" i="1"/>
  <c r="D135" i="1"/>
  <c r="C135" i="1"/>
  <c r="B135" i="1"/>
  <c r="H134" i="1"/>
  <c r="F134" i="1"/>
  <c r="E134" i="1"/>
  <c r="D134" i="1"/>
  <c r="C134" i="1"/>
  <c r="B134" i="1"/>
  <c r="H133" i="1"/>
  <c r="F133" i="1"/>
  <c r="E133" i="1"/>
  <c r="D133" i="1"/>
  <c r="C133" i="1"/>
  <c r="B133" i="1"/>
  <c r="H132" i="1"/>
  <c r="F132" i="1"/>
  <c r="E132" i="1"/>
  <c r="D132" i="1"/>
  <c r="C132" i="1"/>
  <c r="B132" i="1"/>
  <c r="H131" i="1"/>
  <c r="F131" i="1"/>
  <c r="E131" i="1"/>
  <c r="D131" i="1"/>
  <c r="C131" i="1"/>
  <c r="B131" i="1"/>
  <c r="H130" i="1"/>
  <c r="F130" i="1"/>
  <c r="E130" i="1"/>
  <c r="D130" i="1"/>
  <c r="C130" i="1"/>
  <c r="B130" i="1"/>
  <c r="H129" i="1"/>
  <c r="F129" i="1"/>
  <c r="E129" i="1"/>
  <c r="D129" i="1"/>
  <c r="C129" i="1"/>
  <c r="B129" i="1"/>
  <c r="H99" i="1"/>
  <c r="F99" i="1"/>
  <c r="E99" i="1"/>
  <c r="D99" i="1"/>
  <c r="C99" i="1"/>
  <c r="B99" i="1"/>
  <c r="H98" i="1"/>
  <c r="F98" i="1"/>
  <c r="E98" i="1"/>
  <c r="D98" i="1"/>
  <c r="C98" i="1"/>
  <c r="B98" i="1"/>
  <c r="H201" i="1"/>
  <c r="F201" i="1"/>
  <c r="E201" i="1"/>
  <c r="D201" i="1"/>
  <c r="C201" i="1"/>
  <c r="B201" i="1"/>
  <c r="H200" i="1"/>
  <c r="F200" i="1"/>
  <c r="E200" i="1"/>
  <c r="D200" i="1"/>
  <c r="C200" i="1"/>
  <c r="B200" i="1"/>
  <c r="H199" i="1"/>
  <c r="F199" i="1"/>
  <c r="E199" i="1"/>
  <c r="D199" i="1"/>
  <c r="C199" i="1"/>
  <c r="B199" i="1"/>
  <c r="H198" i="1"/>
  <c r="F198" i="1"/>
  <c r="E198" i="1"/>
  <c r="D198" i="1"/>
  <c r="C198" i="1"/>
  <c r="B198" i="1"/>
  <c r="H197" i="1"/>
  <c r="F197" i="1"/>
  <c r="E197" i="1"/>
  <c r="D197" i="1"/>
  <c r="C197" i="1"/>
  <c r="B197" i="1"/>
  <c r="H196" i="1"/>
  <c r="F196" i="1"/>
  <c r="E196" i="1"/>
  <c r="D196" i="1"/>
  <c r="C196" i="1"/>
  <c r="B196" i="1"/>
  <c r="H162" i="1"/>
  <c r="F162" i="1"/>
  <c r="E162" i="1"/>
  <c r="D162" i="1"/>
  <c r="C162" i="1"/>
  <c r="B162" i="1"/>
  <c r="H161" i="1"/>
  <c r="F161" i="1"/>
  <c r="E161" i="1"/>
  <c r="D161" i="1"/>
  <c r="C161" i="1"/>
  <c r="B161" i="1"/>
  <c r="H232" i="1"/>
  <c r="F232" i="1"/>
  <c r="E232" i="1"/>
  <c r="D232" i="1"/>
  <c r="C232" i="1"/>
  <c r="B232" i="1"/>
  <c r="H229" i="1"/>
  <c r="F229" i="1"/>
  <c r="E229" i="1"/>
  <c r="D229" i="1"/>
  <c r="C229" i="1"/>
  <c r="B229" i="1"/>
  <c r="H228" i="1"/>
  <c r="F228" i="1"/>
  <c r="E228" i="1"/>
  <c r="D228" i="1"/>
  <c r="C228" i="1"/>
  <c r="B228" i="1"/>
  <c r="H172" i="1"/>
  <c r="F172" i="1"/>
  <c r="E172" i="1"/>
  <c r="D172" i="1"/>
  <c r="C172" i="1"/>
  <c r="B172" i="1"/>
  <c r="H105" i="1"/>
  <c r="F105" i="1"/>
  <c r="E105" i="1"/>
  <c r="D105" i="1"/>
  <c r="C105" i="1"/>
  <c r="B105" i="1"/>
  <c r="H104" i="1"/>
  <c r="F104" i="1"/>
  <c r="E104" i="1"/>
  <c r="D104" i="1"/>
  <c r="C104" i="1"/>
  <c r="B104" i="1"/>
  <c r="F337" i="1"/>
  <c r="E337" i="1"/>
  <c r="D337" i="1"/>
  <c r="C337" i="1"/>
  <c r="B337" i="1"/>
  <c r="F234" i="1"/>
  <c r="E234" i="1"/>
  <c r="D234" i="1"/>
  <c r="C234" i="1"/>
  <c r="B234" i="1"/>
  <c r="F225" i="1"/>
  <c r="E225" i="1"/>
  <c r="D225" i="1"/>
  <c r="C225" i="1"/>
  <c r="B225" i="1"/>
  <c r="H287" i="1"/>
  <c r="F287" i="1"/>
  <c r="E287" i="1"/>
  <c r="D287" i="1"/>
  <c r="C287" i="1"/>
  <c r="B287" i="1"/>
  <c r="H286" i="1"/>
  <c r="F286" i="1"/>
  <c r="E286" i="1"/>
  <c r="D286" i="1"/>
  <c r="C286" i="1"/>
  <c r="B286" i="1"/>
  <c r="H285" i="1"/>
  <c r="F285" i="1"/>
  <c r="E285" i="1"/>
  <c r="D285" i="1"/>
  <c r="C285" i="1"/>
  <c r="B285" i="1"/>
  <c r="H284" i="1"/>
  <c r="F284" i="1"/>
  <c r="E284" i="1"/>
  <c r="D284" i="1"/>
  <c r="C284" i="1"/>
  <c r="B284" i="1"/>
  <c r="H282" i="1"/>
  <c r="F282" i="1"/>
  <c r="E282" i="1"/>
  <c r="D282" i="1"/>
  <c r="C282" i="1"/>
  <c r="B282" i="1"/>
  <c r="H279" i="1"/>
  <c r="F279" i="1"/>
  <c r="E279" i="1"/>
  <c r="D279" i="1"/>
  <c r="C279" i="1"/>
  <c r="B279" i="1"/>
  <c r="H256" i="1"/>
  <c r="F256" i="1"/>
  <c r="E256" i="1"/>
  <c r="D256" i="1"/>
  <c r="C256" i="1"/>
  <c r="B256" i="1"/>
  <c r="H255" i="1"/>
  <c r="F255" i="1"/>
  <c r="E255" i="1"/>
  <c r="D255" i="1"/>
  <c r="C255" i="1"/>
  <c r="B255" i="1"/>
  <c r="H127" i="1"/>
  <c r="F127" i="1"/>
  <c r="E127" i="1"/>
  <c r="D127" i="1"/>
  <c r="C127" i="1"/>
  <c r="B127" i="1"/>
  <c r="H126" i="1"/>
  <c r="F126" i="1"/>
  <c r="E126" i="1"/>
  <c r="D126" i="1"/>
  <c r="C126" i="1"/>
  <c r="B126" i="1"/>
  <c r="H125" i="1"/>
  <c r="F125" i="1"/>
  <c r="E125" i="1"/>
  <c r="D125" i="1"/>
  <c r="C125" i="1"/>
  <c r="B125" i="1"/>
  <c r="H95" i="1"/>
  <c r="F95" i="1"/>
  <c r="E95" i="1"/>
  <c r="D95" i="1"/>
  <c r="C95" i="1"/>
  <c r="B95" i="1"/>
  <c r="H336" i="1"/>
  <c r="F336" i="1"/>
  <c r="E336" i="1"/>
  <c r="D336" i="1"/>
  <c r="C336" i="1"/>
  <c r="B336" i="1"/>
  <c r="H254" i="1"/>
  <c r="F254" i="1"/>
  <c r="E254" i="1"/>
  <c r="D254" i="1"/>
  <c r="C254" i="1"/>
  <c r="B254" i="1"/>
  <c r="H253" i="1"/>
  <c r="F253" i="1"/>
  <c r="E253" i="1"/>
  <c r="D253" i="1"/>
  <c r="C253" i="1"/>
  <c r="B253" i="1"/>
  <c r="H252" i="1"/>
  <c r="F252" i="1"/>
  <c r="E252" i="1"/>
  <c r="D252" i="1"/>
  <c r="C252" i="1"/>
  <c r="B252" i="1"/>
  <c r="H251" i="1"/>
  <c r="F251" i="1"/>
  <c r="E251" i="1"/>
  <c r="D251" i="1"/>
  <c r="C251" i="1"/>
  <c r="B251" i="1"/>
  <c r="H250" i="1"/>
  <c r="F250" i="1"/>
  <c r="E250" i="1"/>
  <c r="D250" i="1"/>
  <c r="C250" i="1"/>
  <c r="B250" i="1"/>
  <c r="H216" i="1"/>
  <c r="F216" i="1"/>
  <c r="E216" i="1"/>
  <c r="D216" i="1"/>
  <c r="C216" i="1"/>
  <c r="B216" i="1"/>
  <c r="H195" i="1"/>
  <c r="F195" i="1"/>
  <c r="E195" i="1"/>
  <c r="D195" i="1"/>
  <c r="C195" i="1"/>
  <c r="B195" i="1"/>
  <c r="H194" i="1"/>
  <c r="F194" i="1"/>
  <c r="E194" i="1"/>
  <c r="D194" i="1"/>
  <c r="C194" i="1"/>
  <c r="B194" i="1"/>
  <c r="H193" i="1"/>
  <c r="F193" i="1"/>
  <c r="E193" i="1"/>
  <c r="D193" i="1"/>
  <c r="C193" i="1"/>
  <c r="B193" i="1"/>
  <c r="H192" i="1"/>
  <c r="F192" i="1"/>
  <c r="E192" i="1"/>
  <c r="D192" i="1"/>
  <c r="C192" i="1"/>
  <c r="B192" i="1"/>
  <c r="H191" i="1"/>
  <c r="F191" i="1"/>
  <c r="E191" i="1"/>
  <c r="D191" i="1"/>
  <c r="C191" i="1"/>
  <c r="B191" i="1"/>
  <c r="H171" i="1"/>
  <c r="F171" i="1"/>
  <c r="E171" i="1"/>
  <c r="D171" i="1"/>
  <c r="C171" i="1"/>
  <c r="B171" i="1"/>
  <c r="H170" i="1"/>
  <c r="F170" i="1"/>
  <c r="E170" i="1"/>
  <c r="D170" i="1"/>
  <c r="C170" i="1"/>
  <c r="B170" i="1"/>
  <c r="H169" i="1"/>
  <c r="F169" i="1"/>
  <c r="E169" i="1"/>
  <c r="D169" i="1"/>
  <c r="C169" i="1"/>
  <c r="B169" i="1"/>
  <c r="H168" i="1"/>
  <c r="F168" i="1"/>
  <c r="E168" i="1"/>
  <c r="D168" i="1"/>
  <c r="C168" i="1"/>
  <c r="B168" i="1"/>
  <c r="H167" i="1"/>
  <c r="F167" i="1"/>
  <c r="E167" i="1"/>
  <c r="D167" i="1"/>
  <c r="C167" i="1"/>
  <c r="B167" i="1"/>
  <c r="H166" i="1"/>
  <c r="F166" i="1"/>
  <c r="E166" i="1"/>
  <c r="D166" i="1"/>
  <c r="C166" i="1"/>
  <c r="B166" i="1"/>
  <c r="H164" i="1"/>
  <c r="F164" i="1"/>
  <c r="E164" i="1"/>
  <c r="D164" i="1"/>
  <c r="C164" i="1"/>
  <c r="B164" i="1"/>
  <c r="H163" i="1"/>
  <c r="F163" i="1"/>
  <c r="E163" i="1"/>
  <c r="D163" i="1"/>
  <c r="C163" i="1"/>
  <c r="B163" i="1"/>
  <c r="H108" i="1"/>
  <c r="F108" i="1"/>
  <c r="E108" i="1"/>
  <c r="D108" i="1"/>
  <c r="C108" i="1"/>
  <c r="B108" i="1"/>
  <c r="H90" i="1"/>
  <c r="F90" i="1"/>
  <c r="E90" i="1"/>
  <c r="D90" i="1"/>
  <c r="C90" i="1"/>
  <c r="B90" i="1"/>
  <c r="H67" i="1"/>
  <c r="F67" i="1"/>
  <c r="E67" i="1"/>
  <c r="D67" i="1"/>
  <c r="C67" i="1"/>
  <c r="B67" i="1"/>
  <c r="H66" i="1"/>
  <c r="F66" i="1"/>
  <c r="E66" i="1"/>
  <c r="D66" i="1"/>
  <c r="C66" i="1"/>
  <c r="B66" i="1"/>
  <c r="H65" i="1"/>
  <c r="F65" i="1"/>
  <c r="E65" i="1"/>
  <c r="D65" i="1"/>
  <c r="C65" i="1"/>
  <c r="B65" i="1"/>
  <c r="H64" i="1"/>
  <c r="F64" i="1"/>
  <c r="E64" i="1"/>
  <c r="D64" i="1"/>
  <c r="C64" i="1"/>
  <c r="B64" i="1"/>
</calcChain>
</file>

<file path=xl/sharedStrings.xml><?xml version="1.0" encoding="utf-8"?>
<sst xmlns="http://schemas.openxmlformats.org/spreadsheetml/2006/main" count="683" uniqueCount="138">
  <si>
    <t>Manufacturer</t>
  </si>
  <si>
    <t>Comments</t>
  </si>
  <si>
    <t>End Date</t>
  </si>
  <si>
    <t>OTTO BOCK HEALTHCARE</t>
  </si>
  <si>
    <t>HCPCS Code</t>
  </si>
  <si>
    <t>Effective Date</t>
  </si>
  <si>
    <t>Product Name</t>
  </si>
  <si>
    <t>Model Number</t>
  </si>
  <si>
    <t/>
  </si>
  <si>
    <t>A6212</t>
  </si>
  <si>
    <t>A9270</t>
  </si>
  <si>
    <t>DICARRE LLC</t>
  </si>
  <si>
    <t>A4409</t>
  </si>
  <si>
    <t>K0856</t>
  </si>
  <si>
    <t>K0861</t>
  </si>
  <si>
    <t>MED WAY INC</t>
  </si>
  <si>
    <t>Indicator</t>
  </si>
  <si>
    <t>A</t>
  </si>
  <si>
    <t>U</t>
  </si>
  <si>
    <t xml:space="preserve">DMECS Additions and Updates
Additions and Updates are in HCPCS Alphanumeric Order
</t>
  </si>
  <si>
    <t>RENOVIA INC</t>
  </si>
  <si>
    <t>01</t>
  </si>
  <si>
    <t>E0740</t>
  </si>
  <si>
    <t>US DIAGNOSTICS INC</t>
  </si>
  <si>
    <t>VS-203ST50MO</t>
  </si>
  <si>
    <t>A4253</t>
  </si>
  <si>
    <t>09/25/2017</t>
  </si>
  <si>
    <t>VS-203ST50</t>
  </si>
  <si>
    <t>VS-LEVEL1</t>
  </si>
  <si>
    <t>A4256</t>
  </si>
  <si>
    <t>B BRAUN MEDICAL INC</t>
  </si>
  <si>
    <t>938415NA</t>
  </si>
  <si>
    <t>938515NA</t>
  </si>
  <si>
    <t>938615NA</t>
  </si>
  <si>
    <t>938815NA</t>
  </si>
  <si>
    <t>938420NA</t>
  </si>
  <si>
    <t>938425NA</t>
  </si>
  <si>
    <t>938430NA</t>
  </si>
  <si>
    <t>938535NA</t>
  </si>
  <si>
    <t>938540NA</t>
  </si>
  <si>
    <t>938645NA</t>
  </si>
  <si>
    <t>HOLLISTER INC</t>
  </si>
  <si>
    <t>19902</t>
  </si>
  <si>
    <t>A4409+A4432</t>
  </si>
  <si>
    <t>19903</t>
  </si>
  <si>
    <t>19904</t>
  </si>
  <si>
    <t>19602</t>
  </si>
  <si>
    <t>A4409+A5063</t>
  </si>
  <si>
    <t>19603</t>
  </si>
  <si>
    <t>19604</t>
  </si>
  <si>
    <t>19802</t>
  </si>
  <si>
    <t>19803</t>
  </si>
  <si>
    <t>19804</t>
  </si>
  <si>
    <t>V4004242</t>
  </si>
  <si>
    <t>A6197</t>
  </si>
  <si>
    <t>V4000012</t>
  </si>
  <si>
    <t>A6199</t>
  </si>
  <si>
    <t>V3010202</t>
  </si>
  <si>
    <t>V3010303</t>
  </si>
  <si>
    <t>EVOLVE BIOSYSTEMS INC</t>
  </si>
  <si>
    <t>86253100100</t>
  </si>
  <si>
    <t>86253100120</t>
  </si>
  <si>
    <t>VS-103MK</t>
  </si>
  <si>
    <t>E0607</t>
  </si>
  <si>
    <t>INVACARE CORP</t>
  </si>
  <si>
    <t>TDXSP2-CG</t>
  </si>
  <si>
    <t>TDXSP2-MCG</t>
  </si>
  <si>
    <t>MERITS HEALTH PRODUCTS INC</t>
  </si>
  <si>
    <t>P323-3MPHDSS</t>
  </si>
  <si>
    <t>K0862</t>
  </si>
  <si>
    <t>ADVANCED HEALING MEDICAL DEVICES</t>
  </si>
  <si>
    <t>CTLA</t>
  </si>
  <si>
    <t>CTLA-TS</t>
  </si>
  <si>
    <t>CTLL</t>
  </si>
  <si>
    <t>CTSA</t>
  </si>
  <si>
    <t>CTSA-TS</t>
  </si>
  <si>
    <t>CTSL</t>
  </si>
  <si>
    <t>PDG PRODUCT DESIGN GROUP INC</t>
  </si>
  <si>
    <t>55155</t>
  </si>
  <si>
    <t>K0005 OR E1235+E1225+E0985</t>
  </si>
  <si>
    <t>L5814</t>
  </si>
  <si>
    <t>CODE REVERIFIED 09/13/2013</t>
  </si>
  <si>
    <t>DE11-BK-UN</t>
  </si>
  <si>
    <t>L3660</t>
  </si>
  <si>
    <t>REMENDIUM LABS</t>
  </si>
  <si>
    <t>HEALER HEALTH LLC (DBA IRUNNER)</t>
  </si>
  <si>
    <t>713012684617</t>
  </si>
  <si>
    <t>DE21-BK-UN</t>
  </si>
  <si>
    <t>INSPIRED BY DRIVE</t>
  </si>
  <si>
    <t>WCS1-6916S</t>
  </si>
  <si>
    <t>K0003</t>
  </si>
  <si>
    <t>WCS1-6916M</t>
  </si>
  <si>
    <t>WCS1-6916L</t>
  </si>
  <si>
    <t>WCS3-6916S</t>
  </si>
  <si>
    <t>WCS3-6916M</t>
  </si>
  <si>
    <t>WCS3-6916L</t>
  </si>
  <si>
    <t>WCS1-6918S</t>
  </si>
  <si>
    <t>WCS1-6918M</t>
  </si>
  <si>
    <t>WCS1-6918L</t>
  </si>
  <si>
    <t>WCS3-6918S</t>
  </si>
  <si>
    <t>WCS3-6918M</t>
  </si>
  <si>
    <t>WCS3-6918L</t>
  </si>
  <si>
    <t>STEALTH PRODUCTS LLC</t>
  </si>
  <si>
    <t>IDM-ALLROUND-9</t>
  </si>
  <si>
    <t>E2374</t>
  </si>
  <si>
    <t>CODE REVERIFIED 09/27/2017.</t>
  </si>
  <si>
    <t>LEVA</t>
  </si>
  <si>
    <t>LEVA ES</t>
  </si>
  <si>
    <t>EMBAGYN PELVIC FLOOR EXERCISER</t>
  </si>
  <si>
    <t>VERASENS TEST STRIPS (50 PER BOX)</t>
  </si>
  <si>
    <t>VERASENS CONTROL SOLUTION LEVEL 1</t>
  </si>
  <si>
    <t>FLEXIMA 3S 2-PIECE SYSTEM BASE PLATE WITH TAPE BORDER CUT TO FIT</t>
  </si>
  <si>
    <t>NEW IMAGE CERAPLUS UROSTOMY KIT</t>
  </si>
  <si>
    <t>NEW IMAGE CERAPLUS DRAINABLE OSTOMY KIT</t>
  </si>
  <si>
    <t>MEDVANCE ALGINATE</t>
  </si>
  <si>
    <t>MEDVANCE ALGINATE ROPE</t>
  </si>
  <si>
    <t>MEDVANCE SILICONE FOAM WITH BORDER 2" X 2"</t>
  </si>
  <si>
    <t>MEDVANCE SILICONE FOAM WITH BORDER 3" X 3"</t>
  </si>
  <si>
    <t>EVIVO - REFILL POWDER (28 X .625G)</t>
  </si>
  <si>
    <t>EVIVO - STARTER KIT POWDER (28 X .625G)</t>
  </si>
  <si>
    <t>VERASENS BLOOD GLUCOSE METER</t>
  </si>
  <si>
    <t>INVACARE TDX SP2 POWER WHEELCHAIR</t>
  </si>
  <si>
    <t>VECTOR HD</t>
  </si>
  <si>
    <t>COOLCAST LONG ARM</t>
  </si>
  <si>
    <t>COOLCAST LONG ARM-THUMB SPIKE</t>
  </si>
  <si>
    <t>COOLCAST LONG LEG</t>
  </si>
  <si>
    <t>COOLCAST SHORT ARM</t>
  </si>
  <si>
    <t>COOLCAST SHORT ARM-THUMB SPIKE</t>
  </si>
  <si>
    <t>COOLCAST SHORT LEG</t>
  </si>
  <si>
    <t>ELEVATION</t>
  </si>
  <si>
    <t>OTTO BOCK 3R60 KNEE</t>
  </si>
  <si>
    <t>NOBLE SLING 15 DEGREES</t>
  </si>
  <si>
    <t>ELITE</t>
  </si>
  <si>
    <t>NOBLE SLING ER 90 DEGREES</t>
  </si>
  <si>
    <t>SPROUT WHEELCHAIR 16</t>
  </si>
  <si>
    <t>SPROUT WHEELCHAIR 18</t>
  </si>
  <si>
    <t>FLEXIMA 3S 2 PIECE FLAT EXTENDED WEAR BASE PLATE TAPE BORDER LOCKING FLOATING FLANGE</t>
  </si>
  <si>
    <t>MO-VIS ALL ROUND JOYSTICK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</si>
</sst>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13">
    <xf numFmtId="0" fontId="0" fillId="0" borderId="0" xfId="0"/>
    <xf numFmtId="0" fontId="1" fillId="0" borderId="1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3" xfId="0" applyFont="1" applyFill="1" applyBorder="1" applyAlignment="1">
      <alignment horizontal="left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123825</xdr:rowOff>
    </xdr:from>
    <xdr:to>
      <xdr:col>2</xdr:col>
      <xdr:colOff>2239377</xdr:colOff>
      <xdr:row>4</xdr:row>
      <xdr:rowOff>95249</xdr:rowOff>
    </xdr:to>
    <xdr:pic>
      <xdr:nvPicPr>
        <xdr:cNvPr id="2" name="Picture 1" descr="Noridian Healthcare Solutions logo." title="Noridian Healthcare Solutions">
          <a:extLst>
            <a:ext uri="{FF2B5EF4-FFF2-40B4-BE49-F238E27FC236}">
              <a16:creationId xmlns:a16="http://schemas.microsoft.com/office/drawing/2014/main" id="{1A5B5F41-C6AD-4AA8-9238-D6872AE0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3675" y="123825"/>
          <a:ext cx="1829802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8"/>
  <sheetViews>
    <sheetView tabSelected="1" workbookViewId="0">
      <pane ySplit="6" topLeftCell="A7" activePane="bottomLeft" state="frozen"/>
      <selection pane="bottomLeft" activeCell="B15" sqref="B15"/>
    </sheetView>
  </sheetViews>
  <sheetFormatPr defaultRowHeight="12.75" x14ac:dyDescent="0.2"/>
  <cols>
    <col min="1" max="1" width="12.140625" style="7" customWidth="1"/>
    <col min="2" max="2" width="79.85546875" style="7" customWidth="1"/>
    <col min="3" max="3" width="48" style="7" customWidth="1"/>
    <col min="4" max="4" width="30.28515625" style="7" customWidth="1"/>
    <col min="5" max="5" width="26.7109375" style="7" customWidth="1"/>
    <col min="6" max="7" width="18.42578125" style="7" customWidth="1"/>
    <col min="8" max="8" width="111.42578125" style="7" bestFit="1" customWidth="1"/>
    <col min="9" max="16384" width="9.140625" style="7"/>
  </cols>
  <sheetData>
    <row r="1" spans="1:8" ht="14.25" customHeight="1" x14ac:dyDescent="0.2">
      <c r="A1" s="11" t="s">
        <v>19</v>
      </c>
      <c r="B1" s="11"/>
      <c r="C1" s="11"/>
      <c r="D1" s="11"/>
      <c r="E1" s="11"/>
      <c r="F1" s="11"/>
      <c r="G1" s="11"/>
      <c r="H1" s="11"/>
    </row>
    <row r="2" spans="1:8" ht="14.25" customHeight="1" x14ac:dyDescent="0.2">
      <c r="A2" s="11"/>
      <c r="B2" s="11"/>
      <c r="C2" s="11"/>
      <c r="D2" s="11"/>
      <c r="E2" s="11"/>
      <c r="F2" s="11"/>
      <c r="G2" s="11"/>
      <c r="H2" s="11"/>
    </row>
    <row r="3" spans="1:8" ht="14.25" customHeight="1" x14ac:dyDescent="0.2">
      <c r="A3" s="11"/>
      <c r="B3" s="11"/>
      <c r="C3" s="11"/>
      <c r="D3" s="11"/>
      <c r="E3" s="11"/>
      <c r="F3" s="11"/>
      <c r="G3" s="11"/>
      <c r="H3" s="11"/>
    </row>
    <row r="4" spans="1:8" ht="14.25" customHeight="1" x14ac:dyDescent="0.2">
      <c r="A4" s="11"/>
      <c r="B4" s="11"/>
      <c r="C4" s="11"/>
      <c r="D4" s="11"/>
      <c r="E4" s="11"/>
      <c r="F4" s="11"/>
      <c r="G4" s="11"/>
      <c r="H4" s="11"/>
    </row>
    <row r="5" spans="1:8" ht="14.25" customHeight="1" x14ac:dyDescent="0.2">
      <c r="A5" s="12"/>
      <c r="B5" s="12"/>
      <c r="C5" s="12"/>
      <c r="D5" s="12"/>
      <c r="E5" s="12"/>
      <c r="F5" s="12"/>
      <c r="G5" s="12"/>
      <c r="H5" s="12"/>
    </row>
    <row r="6" spans="1:8" s="10" customFormat="1" x14ac:dyDescent="0.2">
      <c r="A6" s="8" t="s">
        <v>16</v>
      </c>
      <c r="B6" s="9" t="s">
        <v>6</v>
      </c>
      <c r="C6" s="9" t="s">
        <v>0</v>
      </c>
      <c r="D6" s="9" t="s">
        <v>7</v>
      </c>
      <c r="E6" s="9" t="s">
        <v>4</v>
      </c>
      <c r="F6" s="9" t="s">
        <v>5</v>
      </c>
      <c r="G6" s="9" t="s">
        <v>2</v>
      </c>
      <c r="H6" s="9" t="s">
        <v>1</v>
      </c>
    </row>
    <row r="7" spans="1:8" x14ac:dyDescent="0.2">
      <c r="A7" s="1" t="s">
        <v>17</v>
      </c>
      <c r="B7" s="1" t="s">
        <v>109</v>
      </c>
      <c r="C7" s="1" t="s">
        <v>23</v>
      </c>
      <c r="D7" s="1" t="s">
        <v>24</v>
      </c>
      <c r="E7" s="1" t="s">
        <v>25</v>
      </c>
      <c r="F7" s="1" t="s">
        <v>26</v>
      </c>
      <c r="G7" s="3"/>
      <c r="H7" s="1" t="str">
        <f t="shared" ref="H7:H30" si="0">T("")</f>
        <v/>
      </c>
    </row>
    <row r="8" spans="1:8" x14ac:dyDescent="0.2">
      <c r="A8" s="1" t="s">
        <v>17</v>
      </c>
      <c r="B8" s="1" t="s">
        <v>109</v>
      </c>
      <c r="C8" s="1" t="s">
        <v>23</v>
      </c>
      <c r="D8" s="1" t="s">
        <v>27</v>
      </c>
      <c r="E8" s="1" t="s">
        <v>25</v>
      </c>
      <c r="F8" s="1" t="s">
        <v>26</v>
      </c>
      <c r="G8" s="3"/>
      <c r="H8" s="1" t="str">
        <f t="shared" si="0"/>
        <v/>
      </c>
    </row>
    <row r="9" spans="1:8" x14ac:dyDescent="0.2">
      <c r="A9" s="1" t="s">
        <v>17</v>
      </c>
      <c r="B9" s="1" t="s">
        <v>110</v>
      </c>
      <c r="C9" s="1" t="s">
        <v>23</v>
      </c>
      <c r="D9" s="1" t="s">
        <v>28</v>
      </c>
      <c r="E9" s="1" t="s">
        <v>29</v>
      </c>
      <c r="F9" s="1" t="s">
        <v>26</v>
      </c>
      <c r="G9" s="3"/>
      <c r="H9" s="1" t="str">
        <f t="shared" si="0"/>
        <v/>
      </c>
    </row>
    <row r="10" spans="1:8" x14ac:dyDescent="0.2">
      <c r="A10" s="1" t="s">
        <v>17</v>
      </c>
      <c r="B10" s="1" t="str">
        <f>T("20CC SYRINGE")</f>
        <v>20CC SYRINGE</v>
      </c>
      <c r="C10" s="1" t="str">
        <f>T("IMT (INTERNATIONAL MEDICAL TECHNOLOGY INC)")</f>
        <v>IMT (INTERNATIONAL MEDICAL TECHNOLOGY INC)</v>
      </c>
      <c r="D10" s="1" t="str">
        <f>T("")</f>
        <v/>
      </c>
      <c r="E10" s="1" t="str">
        <f>T("A4322")</f>
        <v>A4322</v>
      </c>
      <c r="F10" s="1" t="str">
        <f>T("09/18/2017")</f>
        <v>09/18/2017</v>
      </c>
      <c r="G10" s="3"/>
      <c r="H10" s="1" t="str">
        <f t="shared" si="0"/>
        <v/>
      </c>
    </row>
    <row r="11" spans="1:8" x14ac:dyDescent="0.2">
      <c r="A11" s="1" t="s">
        <v>17</v>
      </c>
      <c r="B11" s="1" t="str">
        <f>T("LUBRICATING GEL PACKETS")</f>
        <v>LUBRICATING GEL PACKETS</v>
      </c>
      <c r="C11" s="1" t="str">
        <f>T("IMT (INTERNATIONAL MEDICAL TECHNOLOGY INC)")</f>
        <v>IMT (INTERNATIONAL MEDICAL TECHNOLOGY INC)</v>
      </c>
      <c r="D11" s="1" t="str">
        <f>T("")</f>
        <v/>
      </c>
      <c r="E11" s="1" t="str">
        <f>T("A4332")</f>
        <v>A4332</v>
      </c>
      <c r="F11" s="1" t="str">
        <f>T("09/18/2017")</f>
        <v>09/18/2017</v>
      </c>
      <c r="G11" s="3"/>
      <c r="H11" s="1" t="str">
        <f t="shared" si="0"/>
        <v/>
      </c>
    </row>
    <row r="12" spans="1:8" x14ac:dyDescent="0.2">
      <c r="A12" s="1" t="s">
        <v>17</v>
      </c>
      <c r="B12" s="1" t="str">
        <f>T("TWIST KIT (T-KIT)")</f>
        <v>TWIST KIT (T-KIT)</v>
      </c>
      <c r="C12" s="1" t="str">
        <f>T("CURE MEDICAL")</f>
        <v>CURE MEDICAL</v>
      </c>
      <c r="D12" s="1" t="str">
        <f>T("T8K")</f>
        <v>T8K</v>
      </c>
      <c r="E12" s="1" t="str">
        <f>T("A4353")</f>
        <v>A4353</v>
      </c>
      <c r="F12" s="1" t="str">
        <f>T("09/27/2017")</f>
        <v>09/27/2017</v>
      </c>
      <c r="G12" s="3"/>
      <c r="H12" s="1" t="str">
        <f t="shared" si="0"/>
        <v/>
      </c>
    </row>
    <row r="13" spans="1:8" x14ac:dyDescent="0.2">
      <c r="A13" s="1" t="s">
        <v>17</v>
      </c>
      <c r="B13" s="1" t="str">
        <f>T("TWIST KIT (T-KIT)")</f>
        <v>TWIST KIT (T-KIT)</v>
      </c>
      <c r="C13" s="1" t="str">
        <f>T("CURE MEDICAL")</f>
        <v>CURE MEDICAL</v>
      </c>
      <c r="D13" s="1" t="str">
        <f>T("T10K")</f>
        <v>T10K</v>
      </c>
      <c r="E13" s="1" t="str">
        <f>T("A4353")</f>
        <v>A4353</v>
      </c>
      <c r="F13" s="1" t="str">
        <f>T("09/27/2017")</f>
        <v>09/27/2017</v>
      </c>
      <c r="G13" s="3"/>
      <c r="H13" s="1" t="str">
        <f t="shared" si="0"/>
        <v/>
      </c>
    </row>
    <row r="14" spans="1:8" x14ac:dyDescent="0.2">
      <c r="A14" s="1" t="s">
        <v>17</v>
      </c>
      <c r="B14" s="1" t="str">
        <f>T("TWIST KIT (T-KIT)")</f>
        <v>TWIST KIT (T-KIT)</v>
      </c>
      <c r="C14" s="1" t="str">
        <f>T("CURE MEDICAL")</f>
        <v>CURE MEDICAL</v>
      </c>
      <c r="D14" s="1" t="str">
        <f>T("T12K")</f>
        <v>T12K</v>
      </c>
      <c r="E14" s="1" t="str">
        <f>T("A4353")</f>
        <v>A4353</v>
      </c>
      <c r="F14" s="1" t="str">
        <f>T("09/27/2017")</f>
        <v>09/27/2017</v>
      </c>
      <c r="G14" s="3"/>
      <c r="H14" s="1" t="str">
        <f t="shared" si="0"/>
        <v/>
      </c>
    </row>
    <row r="15" spans="1:8" ht="15.75" customHeight="1" x14ac:dyDescent="0.2">
      <c r="A15" s="1" t="s">
        <v>17</v>
      </c>
      <c r="B15" s="1" t="str">
        <f>T("TWIST KIT (T-KIT)")</f>
        <v>TWIST KIT (T-KIT)</v>
      </c>
      <c r="C15" s="1" t="str">
        <f>T("CURE MEDICAL")</f>
        <v>CURE MEDICAL</v>
      </c>
      <c r="D15" s="1" t="str">
        <f>T("T14K")</f>
        <v>T14K</v>
      </c>
      <c r="E15" s="1" t="str">
        <f>T("A4353")</f>
        <v>A4353</v>
      </c>
      <c r="F15" s="1" t="str">
        <f>T("09/27/2017")</f>
        <v>09/27/2017</v>
      </c>
      <c r="G15" s="3"/>
      <c r="H15" s="1" t="str">
        <f t="shared" si="0"/>
        <v/>
      </c>
    </row>
    <row r="16" spans="1:8" ht="15.75" customHeight="1" x14ac:dyDescent="0.2">
      <c r="A16" s="1" t="s">
        <v>17</v>
      </c>
      <c r="B16" s="1" t="str">
        <f>T("TWIST KIT (T-KIT)")</f>
        <v>TWIST KIT (T-KIT)</v>
      </c>
      <c r="C16" s="1" t="str">
        <f>T("CURE MEDICAL")</f>
        <v>CURE MEDICAL</v>
      </c>
      <c r="D16" s="1" t="str">
        <f>T("T16K")</f>
        <v>T16K</v>
      </c>
      <c r="E16" s="1" t="str">
        <f>T("A4353")</f>
        <v>A4353</v>
      </c>
      <c r="F16" s="1" t="str">
        <f>T("09/27/2017")</f>
        <v>09/27/2017</v>
      </c>
      <c r="G16" s="3"/>
      <c r="H16" s="1" t="str">
        <f t="shared" si="0"/>
        <v/>
      </c>
    </row>
    <row r="17" spans="1:8" ht="15.75" customHeight="1" x14ac:dyDescent="0.2">
      <c r="A17" s="1" t="s">
        <v>17</v>
      </c>
      <c r="B17" s="1" t="str">
        <f>T("FLOW COLLECTOR")</f>
        <v>FLOW COLLECTOR</v>
      </c>
      <c r="C17" s="1" t="str">
        <f>T("B BRAUN MEDICAL INC")</f>
        <v>B BRAUN MEDICAL INC</v>
      </c>
      <c r="D17" s="1" t="str">
        <f>T("039901NA")</f>
        <v>039901NA</v>
      </c>
      <c r="E17" s="1" t="str">
        <f>T("A4357")</f>
        <v>A4357</v>
      </c>
      <c r="F17" s="1" t="str">
        <f>T("09/22/2017")</f>
        <v>09/22/2017</v>
      </c>
      <c r="G17" s="3"/>
      <c r="H17" s="1" t="str">
        <f t="shared" si="0"/>
        <v/>
      </c>
    </row>
    <row r="18" spans="1:8" ht="15.75" customHeight="1" x14ac:dyDescent="0.2">
      <c r="A18" s="1" t="s">
        <v>17</v>
      </c>
      <c r="B18" s="1" t="str">
        <f>T("FLOW COLLECTOR")</f>
        <v>FLOW COLLECTOR</v>
      </c>
      <c r="C18" s="1" t="str">
        <f>T("B BRAUN MEDICAL INC")</f>
        <v>B BRAUN MEDICAL INC</v>
      </c>
      <c r="D18" s="1" t="str">
        <f>T("039900NA")</f>
        <v>039900NA</v>
      </c>
      <c r="E18" s="1" t="str">
        <f>T("A4357")</f>
        <v>A4357</v>
      </c>
      <c r="F18" s="1" t="str">
        <f>T("09/22/2017")</f>
        <v>09/22/2017</v>
      </c>
      <c r="G18" s="3"/>
      <c r="H18" s="1" t="str">
        <f t="shared" si="0"/>
        <v/>
      </c>
    </row>
    <row r="19" spans="1:8" ht="15.75" customHeight="1" x14ac:dyDescent="0.2">
      <c r="A19" s="1" t="s">
        <v>17</v>
      </c>
      <c r="B19" s="1" t="str">
        <f>T("COLOSAFE POUCHES + POUCH SEALS")</f>
        <v>COLOSAFE POUCHES + POUCH SEALS</v>
      </c>
      <c r="C19" s="1" t="str">
        <f>T("IMT (INTERNATIONAL MEDICAL TECHNOLOGY INC)")</f>
        <v>IMT (INTERNATIONAL MEDICAL TECHNOLOGY INC)</v>
      </c>
      <c r="D19" s="1" t="str">
        <f>T("ASSY 200B")</f>
        <v>ASSY 200B</v>
      </c>
      <c r="E19" s="1" t="str">
        <f>T("A4397")</f>
        <v>A4397</v>
      </c>
      <c r="F19" s="1" t="str">
        <f>T("09/18/2017")</f>
        <v>09/18/2017</v>
      </c>
      <c r="G19" s="3"/>
      <c r="H19" s="1" t="str">
        <f t="shared" si="0"/>
        <v/>
      </c>
    </row>
    <row r="20" spans="1:8" ht="15.75" customHeight="1" x14ac:dyDescent="0.2">
      <c r="A20" s="1" t="s">
        <v>17</v>
      </c>
      <c r="B20" s="1" t="str">
        <f>T("COLOSAFE CONTINENCE CONTROL DEVICE")</f>
        <v>COLOSAFE CONTINENCE CONTROL DEVICE</v>
      </c>
      <c r="C20" s="1" t="str">
        <f>T("IMT (INTERNATIONAL MEDICAL TECHNOLOGY INC)")</f>
        <v>IMT (INTERNATIONAL MEDICAL TECHNOLOGY INC)</v>
      </c>
      <c r="D20" s="1" t="str">
        <f>T("ASSY 100B")</f>
        <v>ASSY 100B</v>
      </c>
      <c r="E20" s="1" t="str">
        <f>T("A4399+A4397+A4322+A4332")</f>
        <v>A4399+A4397+A4322+A4332</v>
      </c>
      <c r="F20" s="1" t="str">
        <f>T("09/18/2017")</f>
        <v>09/18/2017</v>
      </c>
      <c r="G20" s="3"/>
      <c r="H20" s="1" t="str">
        <f t="shared" si="0"/>
        <v/>
      </c>
    </row>
    <row r="21" spans="1:8" x14ac:dyDescent="0.2">
      <c r="A21" s="1" t="s">
        <v>17</v>
      </c>
      <c r="B21" s="1" t="s">
        <v>111</v>
      </c>
      <c r="C21" s="1" t="s">
        <v>30</v>
      </c>
      <c r="D21" s="1" t="s">
        <v>31</v>
      </c>
      <c r="E21" s="1" t="s">
        <v>12</v>
      </c>
      <c r="F21" s="1" t="s">
        <v>26</v>
      </c>
      <c r="G21" s="3"/>
      <c r="H21" s="1" t="str">
        <f t="shared" si="0"/>
        <v/>
      </c>
    </row>
    <row r="22" spans="1:8" x14ac:dyDescent="0.2">
      <c r="A22" s="1" t="s">
        <v>17</v>
      </c>
      <c r="B22" s="1" t="s">
        <v>111</v>
      </c>
      <c r="C22" s="1" t="s">
        <v>30</v>
      </c>
      <c r="D22" s="1" t="s">
        <v>32</v>
      </c>
      <c r="E22" s="1" t="s">
        <v>12</v>
      </c>
      <c r="F22" s="1" t="s">
        <v>26</v>
      </c>
      <c r="G22" s="3"/>
      <c r="H22" s="1" t="str">
        <f t="shared" si="0"/>
        <v/>
      </c>
    </row>
    <row r="23" spans="1:8" x14ac:dyDescent="0.2">
      <c r="A23" s="1" t="s">
        <v>17</v>
      </c>
      <c r="B23" s="1" t="s">
        <v>111</v>
      </c>
      <c r="C23" s="1" t="s">
        <v>30</v>
      </c>
      <c r="D23" s="1" t="s">
        <v>33</v>
      </c>
      <c r="E23" s="1" t="s">
        <v>12</v>
      </c>
      <c r="F23" s="1" t="s">
        <v>26</v>
      </c>
      <c r="G23" s="3"/>
      <c r="H23" s="1" t="str">
        <f t="shared" si="0"/>
        <v/>
      </c>
    </row>
    <row r="24" spans="1:8" x14ac:dyDescent="0.2">
      <c r="A24" s="1" t="s">
        <v>17</v>
      </c>
      <c r="B24" s="1" t="s">
        <v>111</v>
      </c>
      <c r="C24" s="1" t="s">
        <v>30</v>
      </c>
      <c r="D24" s="1" t="s">
        <v>34</v>
      </c>
      <c r="E24" s="1" t="s">
        <v>12</v>
      </c>
      <c r="F24" s="1" t="s">
        <v>26</v>
      </c>
      <c r="G24" s="3"/>
      <c r="H24" s="1" t="str">
        <f t="shared" si="0"/>
        <v/>
      </c>
    </row>
    <row r="25" spans="1:8" x14ac:dyDescent="0.2">
      <c r="A25" s="1" t="s">
        <v>17</v>
      </c>
      <c r="B25" s="1" t="s">
        <v>111</v>
      </c>
      <c r="C25" s="1" t="s">
        <v>30</v>
      </c>
      <c r="D25" s="1" t="s">
        <v>35</v>
      </c>
      <c r="E25" s="1" t="s">
        <v>12</v>
      </c>
      <c r="F25" s="1" t="s">
        <v>26</v>
      </c>
      <c r="G25" s="3"/>
      <c r="H25" s="1" t="str">
        <f t="shared" si="0"/>
        <v/>
      </c>
    </row>
    <row r="26" spans="1:8" x14ac:dyDescent="0.2">
      <c r="A26" s="1" t="s">
        <v>17</v>
      </c>
      <c r="B26" s="1" t="s">
        <v>111</v>
      </c>
      <c r="C26" s="1" t="s">
        <v>30</v>
      </c>
      <c r="D26" s="1" t="s">
        <v>36</v>
      </c>
      <c r="E26" s="1" t="s">
        <v>12</v>
      </c>
      <c r="F26" s="1" t="s">
        <v>26</v>
      </c>
      <c r="G26" s="3"/>
      <c r="H26" s="1" t="str">
        <f t="shared" si="0"/>
        <v/>
      </c>
    </row>
    <row r="27" spans="1:8" x14ac:dyDescent="0.2">
      <c r="A27" s="1" t="s">
        <v>17</v>
      </c>
      <c r="B27" s="1" t="s">
        <v>111</v>
      </c>
      <c r="C27" s="1" t="s">
        <v>30</v>
      </c>
      <c r="D27" s="1" t="s">
        <v>37</v>
      </c>
      <c r="E27" s="1" t="s">
        <v>12</v>
      </c>
      <c r="F27" s="1" t="s">
        <v>26</v>
      </c>
      <c r="G27" s="3"/>
      <c r="H27" s="1" t="str">
        <f t="shared" si="0"/>
        <v/>
      </c>
    </row>
    <row r="28" spans="1:8" x14ac:dyDescent="0.2">
      <c r="A28" s="1" t="s">
        <v>17</v>
      </c>
      <c r="B28" s="1" t="s">
        <v>111</v>
      </c>
      <c r="C28" s="1" t="s">
        <v>30</v>
      </c>
      <c r="D28" s="1" t="s">
        <v>38</v>
      </c>
      <c r="E28" s="1" t="s">
        <v>12</v>
      </c>
      <c r="F28" s="1" t="s">
        <v>26</v>
      </c>
      <c r="G28" s="3"/>
      <c r="H28" s="1" t="str">
        <f t="shared" si="0"/>
        <v/>
      </c>
    </row>
    <row r="29" spans="1:8" x14ac:dyDescent="0.2">
      <c r="A29" s="1" t="s">
        <v>17</v>
      </c>
      <c r="B29" s="1" t="s">
        <v>111</v>
      </c>
      <c r="C29" s="1" t="s">
        <v>30</v>
      </c>
      <c r="D29" s="1" t="s">
        <v>39</v>
      </c>
      <c r="E29" s="1" t="s">
        <v>12</v>
      </c>
      <c r="F29" s="1" t="s">
        <v>26</v>
      </c>
      <c r="G29" s="3"/>
      <c r="H29" s="1" t="str">
        <f t="shared" si="0"/>
        <v/>
      </c>
    </row>
    <row r="30" spans="1:8" x14ac:dyDescent="0.2">
      <c r="A30" s="1" t="s">
        <v>17</v>
      </c>
      <c r="B30" s="1" t="s">
        <v>111</v>
      </c>
      <c r="C30" s="1" t="s">
        <v>30</v>
      </c>
      <c r="D30" s="1" t="s">
        <v>40</v>
      </c>
      <c r="E30" s="1" t="s">
        <v>12</v>
      </c>
      <c r="F30" s="1" t="s">
        <v>26</v>
      </c>
      <c r="G30" s="3"/>
      <c r="H30" s="1" t="str">
        <f t="shared" si="0"/>
        <v/>
      </c>
    </row>
    <row r="31" spans="1:8" x14ac:dyDescent="0.2">
      <c r="A31" s="1" t="s">
        <v>18</v>
      </c>
      <c r="B31" s="3" t="s">
        <v>136</v>
      </c>
      <c r="C31" s="3" t="s">
        <v>30</v>
      </c>
      <c r="D31" s="2" t="s">
        <v>31</v>
      </c>
      <c r="E31" s="3" t="s">
        <v>12</v>
      </c>
      <c r="F31" s="4">
        <v>42326</v>
      </c>
      <c r="G31" s="4">
        <v>43002</v>
      </c>
      <c r="H31" s="3"/>
    </row>
    <row r="32" spans="1:8" x14ac:dyDescent="0.2">
      <c r="A32" s="1" t="s">
        <v>18</v>
      </c>
      <c r="B32" s="3" t="s">
        <v>136</v>
      </c>
      <c r="C32" s="3" t="s">
        <v>30</v>
      </c>
      <c r="D32" s="2" t="s">
        <v>32</v>
      </c>
      <c r="E32" s="3" t="s">
        <v>12</v>
      </c>
      <c r="F32" s="4">
        <v>42326</v>
      </c>
      <c r="G32" s="4">
        <v>43002</v>
      </c>
      <c r="H32" s="3"/>
    </row>
    <row r="33" spans="1:8" x14ac:dyDescent="0.2">
      <c r="A33" s="1" t="s">
        <v>18</v>
      </c>
      <c r="B33" s="3" t="s">
        <v>136</v>
      </c>
      <c r="C33" s="3" t="s">
        <v>30</v>
      </c>
      <c r="D33" s="2" t="s">
        <v>33</v>
      </c>
      <c r="E33" s="3" t="s">
        <v>12</v>
      </c>
      <c r="F33" s="4">
        <v>42326</v>
      </c>
      <c r="G33" s="4">
        <v>43002</v>
      </c>
      <c r="H33" s="3"/>
    </row>
    <row r="34" spans="1:8" x14ac:dyDescent="0.2">
      <c r="A34" s="1" t="s">
        <v>18</v>
      </c>
      <c r="B34" s="3" t="s">
        <v>136</v>
      </c>
      <c r="C34" s="3" t="s">
        <v>30</v>
      </c>
      <c r="D34" s="2" t="s">
        <v>34</v>
      </c>
      <c r="E34" s="3" t="s">
        <v>12</v>
      </c>
      <c r="F34" s="4">
        <v>42326</v>
      </c>
      <c r="G34" s="4">
        <v>43002</v>
      </c>
      <c r="H34" s="3"/>
    </row>
    <row r="35" spans="1:8" x14ac:dyDescent="0.2">
      <c r="A35" s="1" t="s">
        <v>18</v>
      </c>
      <c r="B35" s="3" t="s">
        <v>136</v>
      </c>
      <c r="C35" s="3" t="s">
        <v>30</v>
      </c>
      <c r="D35" s="2" t="s">
        <v>35</v>
      </c>
      <c r="E35" s="3" t="s">
        <v>12</v>
      </c>
      <c r="F35" s="4">
        <v>42348</v>
      </c>
      <c r="G35" s="4">
        <v>43002</v>
      </c>
      <c r="H35" s="3"/>
    </row>
    <row r="36" spans="1:8" x14ac:dyDescent="0.2">
      <c r="A36" s="1" t="s">
        <v>18</v>
      </c>
      <c r="B36" s="3" t="s">
        <v>136</v>
      </c>
      <c r="C36" s="3" t="s">
        <v>30</v>
      </c>
      <c r="D36" s="2" t="s">
        <v>36</v>
      </c>
      <c r="E36" s="3" t="s">
        <v>12</v>
      </c>
      <c r="F36" s="4">
        <v>42348</v>
      </c>
      <c r="G36" s="4">
        <v>43002</v>
      </c>
      <c r="H36" s="3"/>
    </row>
    <row r="37" spans="1:8" x14ac:dyDescent="0.2">
      <c r="A37" s="1" t="s">
        <v>18</v>
      </c>
      <c r="B37" s="3" t="s">
        <v>111</v>
      </c>
      <c r="C37" s="3" t="s">
        <v>30</v>
      </c>
      <c r="D37" s="2" t="s">
        <v>37</v>
      </c>
      <c r="E37" s="3" t="s">
        <v>12</v>
      </c>
      <c r="F37" s="4">
        <v>42348</v>
      </c>
      <c r="G37" s="4">
        <v>43002</v>
      </c>
      <c r="H37" s="3"/>
    </row>
    <row r="38" spans="1:8" x14ac:dyDescent="0.2">
      <c r="A38" s="1" t="s">
        <v>18</v>
      </c>
      <c r="B38" s="3" t="s">
        <v>136</v>
      </c>
      <c r="C38" s="3" t="s">
        <v>30</v>
      </c>
      <c r="D38" s="2" t="s">
        <v>38</v>
      </c>
      <c r="E38" s="3" t="s">
        <v>12</v>
      </c>
      <c r="F38" s="4">
        <v>42348</v>
      </c>
      <c r="G38" s="4">
        <v>43002</v>
      </c>
      <c r="H38" s="3"/>
    </row>
    <row r="39" spans="1:8" x14ac:dyDescent="0.2">
      <c r="A39" s="1" t="s">
        <v>18</v>
      </c>
      <c r="B39" s="3" t="s">
        <v>136</v>
      </c>
      <c r="C39" s="3" t="s">
        <v>30</v>
      </c>
      <c r="D39" s="2" t="s">
        <v>39</v>
      </c>
      <c r="E39" s="3" t="s">
        <v>12</v>
      </c>
      <c r="F39" s="4">
        <v>42348</v>
      </c>
      <c r="G39" s="4">
        <v>43002</v>
      </c>
      <c r="H39" s="3"/>
    </row>
    <row r="40" spans="1:8" x14ac:dyDescent="0.2">
      <c r="A40" s="1" t="s">
        <v>18</v>
      </c>
      <c r="B40" s="3" t="s">
        <v>136</v>
      </c>
      <c r="C40" s="3" t="s">
        <v>30</v>
      </c>
      <c r="D40" s="2" t="s">
        <v>40</v>
      </c>
      <c r="E40" s="3" t="s">
        <v>12</v>
      </c>
      <c r="F40" s="4">
        <v>42348</v>
      </c>
      <c r="G40" s="4">
        <v>43002</v>
      </c>
      <c r="H40" s="3"/>
    </row>
    <row r="41" spans="1:8" x14ac:dyDescent="0.2">
      <c r="A41" s="1" t="s">
        <v>17</v>
      </c>
      <c r="B41" s="1" t="s">
        <v>112</v>
      </c>
      <c r="C41" s="1" t="s">
        <v>41</v>
      </c>
      <c r="D41" s="1" t="s">
        <v>42</v>
      </c>
      <c r="E41" s="1" t="s">
        <v>43</v>
      </c>
      <c r="F41" s="1" t="s">
        <v>26</v>
      </c>
      <c r="G41" s="3"/>
      <c r="H41" s="1" t="str">
        <f t="shared" ref="H41:H56" si="1">T("")</f>
        <v/>
      </c>
    </row>
    <row r="42" spans="1:8" x14ac:dyDescent="0.2">
      <c r="A42" s="1" t="s">
        <v>17</v>
      </c>
      <c r="B42" s="1" t="s">
        <v>112</v>
      </c>
      <c r="C42" s="1" t="s">
        <v>41</v>
      </c>
      <c r="D42" s="1" t="s">
        <v>44</v>
      </c>
      <c r="E42" s="1" t="s">
        <v>43</v>
      </c>
      <c r="F42" s="1" t="s">
        <v>26</v>
      </c>
      <c r="G42" s="3"/>
      <c r="H42" s="1" t="str">
        <f t="shared" si="1"/>
        <v/>
      </c>
    </row>
    <row r="43" spans="1:8" x14ac:dyDescent="0.2">
      <c r="A43" s="1" t="s">
        <v>17</v>
      </c>
      <c r="B43" s="1" t="s">
        <v>112</v>
      </c>
      <c r="C43" s="1" t="s">
        <v>41</v>
      </c>
      <c r="D43" s="1" t="s">
        <v>45</v>
      </c>
      <c r="E43" s="1" t="s">
        <v>43</v>
      </c>
      <c r="F43" s="1" t="s">
        <v>26</v>
      </c>
      <c r="G43" s="3"/>
      <c r="H43" s="1" t="str">
        <f t="shared" si="1"/>
        <v/>
      </c>
    </row>
    <row r="44" spans="1:8" x14ac:dyDescent="0.2">
      <c r="A44" s="1" t="s">
        <v>17</v>
      </c>
      <c r="B44" s="1" t="s">
        <v>113</v>
      </c>
      <c r="C44" s="1" t="s">
        <v>41</v>
      </c>
      <c r="D44" s="1" t="s">
        <v>46</v>
      </c>
      <c r="E44" s="1" t="s">
        <v>47</v>
      </c>
      <c r="F44" s="1" t="s">
        <v>26</v>
      </c>
      <c r="G44" s="3"/>
      <c r="H44" s="1" t="str">
        <f t="shared" si="1"/>
        <v/>
      </c>
    </row>
    <row r="45" spans="1:8" x14ac:dyDescent="0.2">
      <c r="A45" s="1" t="s">
        <v>17</v>
      </c>
      <c r="B45" s="1" t="s">
        <v>113</v>
      </c>
      <c r="C45" s="1" t="s">
        <v>41</v>
      </c>
      <c r="D45" s="1" t="s">
        <v>48</v>
      </c>
      <c r="E45" s="1" t="s">
        <v>47</v>
      </c>
      <c r="F45" s="1" t="s">
        <v>26</v>
      </c>
      <c r="G45" s="3"/>
      <c r="H45" s="1" t="str">
        <f t="shared" si="1"/>
        <v/>
      </c>
    </row>
    <row r="46" spans="1:8" x14ac:dyDescent="0.2">
      <c r="A46" s="1" t="s">
        <v>17</v>
      </c>
      <c r="B46" s="1" t="s">
        <v>113</v>
      </c>
      <c r="C46" s="1" t="s">
        <v>41</v>
      </c>
      <c r="D46" s="1" t="s">
        <v>49</v>
      </c>
      <c r="E46" s="1" t="s">
        <v>47</v>
      </c>
      <c r="F46" s="1" t="s">
        <v>26</v>
      </c>
      <c r="G46" s="3"/>
      <c r="H46" s="1" t="str">
        <f t="shared" si="1"/>
        <v/>
      </c>
    </row>
    <row r="47" spans="1:8" x14ac:dyDescent="0.2">
      <c r="A47" s="1" t="s">
        <v>17</v>
      </c>
      <c r="B47" s="1" t="s">
        <v>113</v>
      </c>
      <c r="C47" s="1" t="s">
        <v>41</v>
      </c>
      <c r="D47" s="1" t="s">
        <v>50</v>
      </c>
      <c r="E47" s="1" t="s">
        <v>47</v>
      </c>
      <c r="F47" s="1" t="s">
        <v>26</v>
      </c>
      <c r="G47" s="3"/>
      <c r="H47" s="1" t="str">
        <f t="shared" si="1"/>
        <v/>
      </c>
    </row>
    <row r="48" spans="1:8" x14ac:dyDescent="0.2">
      <c r="A48" s="1" t="s">
        <v>17</v>
      </c>
      <c r="B48" s="1" t="s">
        <v>113</v>
      </c>
      <c r="C48" s="1" t="s">
        <v>41</v>
      </c>
      <c r="D48" s="1" t="s">
        <v>51</v>
      </c>
      <c r="E48" s="1" t="s">
        <v>47</v>
      </c>
      <c r="F48" s="1" t="s">
        <v>26</v>
      </c>
      <c r="G48" s="3"/>
      <c r="H48" s="1" t="str">
        <f t="shared" si="1"/>
        <v/>
      </c>
    </row>
    <row r="49" spans="1:8" x14ac:dyDescent="0.2">
      <c r="A49" s="1" t="s">
        <v>17</v>
      </c>
      <c r="B49" s="1" t="s">
        <v>113</v>
      </c>
      <c r="C49" s="1" t="s">
        <v>41</v>
      </c>
      <c r="D49" s="1" t="s">
        <v>52</v>
      </c>
      <c r="E49" s="1" t="s">
        <v>47</v>
      </c>
      <c r="F49" s="1" t="s">
        <v>26</v>
      </c>
      <c r="G49" s="3"/>
      <c r="H49" s="1" t="str">
        <f t="shared" si="1"/>
        <v/>
      </c>
    </row>
    <row r="50" spans="1:8" x14ac:dyDescent="0.2">
      <c r="A50" s="1" t="s">
        <v>17</v>
      </c>
      <c r="B50" s="1" t="str">
        <f>T("3B ULTRA-SOFT 7' NASAL OXYGEN CANNULA")</f>
        <v>3B ULTRA-SOFT 7' NASAL OXYGEN CANNULA</v>
      </c>
      <c r="C50" s="1" t="str">
        <f>T("3B MEDICAL INC")</f>
        <v>3B MEDICAL INC</v>
      </c>
      <c r="D50" s="1" t="str">
        <f>T("02U2007")</f>
        <v>02U2007</v>
      </c>
      <c r="E50" s="1" t="str">
        <f>T("A4615")</f>
        <v>A4615</v>
      </c>
      <c r="F50" s="1" t="str">
        <f>T("09/27/2017")</f>
        <v>09/27/2017</v>
      </c>
      <c r="G50" s="3"/>
      <c r="H50" s="1" t="str">
        <f t="shared" si="1"/>
        <v/>
      </c>
    </row>
    <row r="51" spans="1:8" x14ac:dyDescent="0.2">
      <c r="A51" s="1" t="s">
        <v>17</v>
      </c>
      <c r="B51" s="1" t="str">
        <f>T("3B ULTRA-SOFT 12' NASAL OXYGEN CANNULA")</f>
        <v>3B ULTRA-SOFT 12' NASAL OXYGEN CANNULA</v>
      </c>
      <c r="C51" s="1" t="str">
        <f>T("3B MEDICAL INC")</f>
        <v>3B MEDICAL INC</v>
      </c>
      <c r="D51" s="1" t="str">
        <f>T("02U2012")</f>
        <v>02U2012</v>
      </c>
      <c r="E51" s="1" t="str">
        <f>T("A4615")</f>
        <v>A4615</v>
      </c>
      <c r="F51" s="1" t="str">
        <f>T("09/27/2017")</f>
        <v>09/27/2017</v>
      </c>
      <c r="G51" s="3"/>
      <c r="H51" s="1" t="str">
        <f t="shared" si="1"/>
        <v/>
      </c>
    </row>
    <row r="52" spans="1:8" x14ac:dyDescent="0.2">
      <c r="A52" s="1" t="s">
        <v>17</v>
      </c>
      <c r="B52" s="1" t="str">
        <f>T("3B STANDARD 7' NASAL OXYGEN CANNULA")</f>
        <v>3B STANDARD 7' NASAL OXYGEN CANNULA</v>
      </c>
      <c r="C52" s="1" t="str">
        <f>T("3B MEDICAL INC")</f>
        <v>3B MEDICAL INC</v>
      </c>
      <c r="D52" s="1" t="str">
        <f>T("02S2007")</f>
        <v>02S2007</v>
      </c>
      <c r="E52" s="1" t="str">
        <f>T("A4615")</f>
        <v>A4615</v>
      </c>
      <c r="F52" s="1" t="str">
        <f>T("09/28/2017")</f>
        <v>09/28/2017</v>
      </c>
      <c r="G52" s="3"/>
      <c r="H52" s="1" t="str">
        <f t="shared" si="1"/>
        <v/>
      </c>
    </row>
    <row r="53" spans="1:8" x14ac:dyDescent="0.2">
      <c r="A53" s="1" t="s">
        <v>17</v>
      </c>
      <c r="B53" s="1" t="str">
        <f>T("3B STANDARD 12' NASAL OXYGEN CANNULA")</f>
        <v>3B STANDARD 12' NASAL OXYGEN CANNULA</v>
      </c>
      <c r="C53" s="1" t="str">
        <f>T("3B MEDICAL INC")</f>
        <v>3B MEDICAL INC</v>
      </c>
      <c r="D53" s="1" t="str">
        <f>T("02S2012")</f>
        <v>02S2012</v>
      </c>
      <c r="E53" s="1" t="str">
        <f>T("A4615")</f>
        <v>A4615</v>
      </c>
      <c r="F53" s="1" t="str">
        <f>T("09/28/2017")</f>
        <v>09/28/2017</v>
      </c>
      <c r="G53" s="3"/>
      <c r="H53" s="1" t="str">
        <f t="shared" si="1"/>
        <v/>
      </c>
    </row>
    <row r="54" spans="1:8" x14ac:dyDescent="0.2">
      <c r="A54" s="1" t="s">
        <v>17</v>
      </c>
      <c r="B54" s="1" t="str">
        <f>T("OXYGEN TUBING 25 FOOT LENGTH")</f>
        <v>OXYGEN TUBING 25 FOOT LENGTH</v>
      </c>
      <c r="C54" s="1" t="str">
        <f>T("3B MEDICAL INC")</f>
        <v>3B MEDICAL INC</v>
      </c>
      <c r="D54" s="1" t="str">
        <f>T("O2T2025")</f>
        <v>O2T2025</v>
      </c>
      <c r="E54" s="1" t="str">
        <f>T("A4616")</f>
        <v>A4616</v>
      </c>
      <c r="F54" s="1" t="str">
        <f>T("09/27/2017")</f>
        <v>09/27/2017</v>
      </c>
      <c r="G54" s="3"/>
      <c r="H54" s="1" t="str">
        <f t="shared" si="1"/>
        <v/>
      </c>
    </row>
    <row r="55" spans="1:8" x14ac:dyDescent="0.2">
      <c r="A55" s="1" t="s">
        <v>17</v>
      </c>
      <c r="B55" s="1" t="str">
        <f>T("STANDARD REPLACEMENT PAD: 78"" L X 36"" W X 2.5"" H")</f>
        <v>STANDARD REPLACEMENT PAD: 78" L X 36" W X 2.5" H</v>
      </c>
      <c r="C55" s="1" t="str">
        <f>T("DRIVE MEDICAL")</f>
        <v>DRIVE MEDICAL</v>
      </c>
      <c r="D55" s="1" t="str">
        <f>T("14003")</f>
        <v>14003</v>
      </c>
      <c r="E55" s="1" t="str">
        <f>T("A4640")</f>
        <v>A4640</v>
      </c>
      <c r="F55" s="1" t="str">
        <f>T("09/18/2017")</f>
        <v>09/18/2017</v>
      </c>
      <c r="G55" s="3"/>
      <c r="H55" s="1" t="str">
        <f t="shared" si="1"/>
        <v/>
      </c>
    </row>
    <row r="56" spans="1:8" x14ac:dyDescent="0.2">
      <c r="A56" s="1" t="s">
        <v>17</v>
      </c>
      <c r="B56" s="1" t="str">
        <f>T("REPLACEMENT PAD WITH END FLAPS: 123"" L X 36"" W X 2.5"" H")</f>
        <v>REPLACEMENT PAD WITH END FLAPS: 123" L X 36" W X 2.5" H</v>
      </c>
      <c r="C56" s="1" t="str">
        <f>T("DRIVE MEDICAL")</f>
        <v>DRIVE MEDICAL</v>
      </c>
      <c r="D56" s="1" t="str">
        <f>T("14003-EF")</f>
        <v>14003-EF</v>
      </c>
      <c r="E56" s="1" t="str">
        <f>T("A4640")</f>
        <v>A4640</v>
      </c>
      <c r="F56" s="1" t="str">
        <f>T("09/18/2017")</f>
        <v>09/18/2017</v>
      </c>
      <c r="G56" s="3"/>
      <c r="H56" s="1" t="str">
        <f t="shared" si="1"/>
        <v/>
      </c>
    </row>
    <row r="57" spans="1:8" x14ac:dyDescent="0.2">
      <c r="A57" s="1" t="s">
        <v>18</v>
      </c>
      <c r="B57" s="1" t="str">
        <f>T("DYNASORB - SUPER ABSORBENT DRESSING NON-ADHERENT 4"" X 4""")</f>
        <v>DYNASORB - SUPER ABSORBENT DRESSING NON-ADHERENT 4" X 4"</v>
      </c>
      <c r="C57" s="1" t="str">
        <f t="shared" ref="C57:C63" si="2">T("DYNAREX CORP")</f>
        <v>DYNAREX CORP</v>
      </c>
      <c r="D57" s="1" t="str">
        <f>T("3087")</f>
        <v>3087</v>
      </c>
      <c r="E57" s="1" t="str">
        <f t="shared" ref="E57:E63" si="3">T("A4649")</f>
        <v>A4649</v>
      </c>
      <c r="F57" s="1" t="str">
        <f t="shared" ref="F57:F63" si="4">T("07/07/2017")</f>
        <v>07/07/2017</v>
      </c>
      <c r="G57" s="1" t="str">
        <f t="shared" ref="G57:G63" si="5">T("09/28/2017")</f>
        <v>09/28/2017</v>
      </c>
      <c r="H57" s="3"/>
    </row>
    <row r="58" spans="1:8" x14ac:dyDescent="0.2">
      <c r="A58" s="1" t="s">
        <v>18</v>
      </c>
      <c r="B58" s="1" t="str">
        <f>T("DYNASORB - SUPER ABSORBENT DRESSING NON-ADHERENT 6"" X 6""")</f>
        <v>DYNASORB - SUPER ABSORBENT DRESSING NON-ADHERENT 6" X 6"</v>
      </c>
      <c r="C58" s="1" t="str">
        <f t="shared" si="2"/>
        <v>DYNAREX CORP</v>
      </c>
      <c r="D58" s="1" t="str">
        <f>T("3088")</f>
        <v>3088</v>
      </c>
      <c r="E58" s="1" t="str">
        <f t="shared" si="3"/>
        <v>A4649</v>
      </c>
      <c r="F58" s="1" t="str">
        <f t="shared" si="4"/>
        <v>07/07/2017</v>
      </c>
      <c r="G58" s="1" t="str">
        <f t="shared" si="5"/>
        <v>09/28/2017</v>
      </c>
      <c r="H58" s="3"/>
    </row>
    <row r="59" spans="1:8" x14ac:dyDescent="0.2">
      <c r="A59" s="1" t="s">
        <v>18</v>
      </c>
      <c r="B59" s="1" t="str">
        <f>T("DYNASORB - SUPER ABSORBENT DRESSING SELF-ADHERENT 4"" X 4""")</f>
        <v>DYNASORB - SUPER ABSORBENT DRESSING SELF-ADHERENT 4" X 4"</v>
      </c>
      <c r="C59" s="1" t="str">
        <f t="shared" si="2"/>
        <v>DYNAREX CORP</v>
      </c>
      <c r="D59" s="1" t="str">
        <f>T("3089")</f>
        <v>3089</v>
      </c>
      <c r="E59" s="1" t="str">
        <f t="shared" si="3"/>
        <v>A4649</v>
      </c>
      <c r="F59" s="1" t="str">
        <f t="shared" si="4"/>
        <v>07/07/2017</v>
      </c>
      <c r="G59" s="1" t="str">
        <f t="shared" si="5"/>
        <v>09/28/2017</v>
      </c>
      <c r="H59" s="3"/>
    </row>
    <row r="60" spans="1:8" x14ac:dyDescent="0.2">
      <c r="A60" s="1" t="s">
        <v>18</v>
      </c>
      <c r="B60" s="1" t="str">
        <f>T("DYNASORB - SUPER ABSORBENT DRESSING SELF-ADHERENT 6"" X 6""")</f>
        <v>DYNASORB - SUPER ABSORBENT DRESSING SELF-ADHERENT 6" X 6"</v>
      </c>
      <c r="C60" s="1" t="str">
        <f t="shared" si="2"/>
        <v>DYNAREX CORP</v>
      </c>
      <c r="D60" s="1" t="str">
        <f>T("3090")</f>
        <v>3090</v>
      </c>
      <c r="E60" s="1" t="str">
        <f t="shared" si="3"/>
        <v>A4649</v>
      </c>
      <c r="F60" s="1" t="str">
        <f t="shared" si="4"/>
        <v>07/07/2017</v>
      </c>
      <c r="G60" s="1" t="str">
        <f t="shared" si="5"/>
        <v>09/28/2017</v>
      </c>
      <c r="H60" s="3"/>
    </row>
    <row r="61" spans="1:8" x14ac:dyDescent="0.2">
      <c r="A61" s="1" t="s">
        <v>18</v>
      </c>
      <c r="B61" s="1" t="str">
        <f>T("SILIGENTLE AG - SILVER SILICONE BORDERED FOAM DRESSING 2"" X 2""")</f>
        <v>SILIGENTLE AG - SILVER SILICONE BORDERED FOAM DRESSING 2" X 2"</v>
      </c>
      <c r="C61" s="1" t="str">
        <f t="shared" si="2"/>
        <v>DYNAREX CORP</v>
      </c>
      <c r="D61" s="1" t="str">
        <f>T("3084")</f>
        <v>3084</v>
      </c>
      <c r="E61" s="1" t="str">
        <f t="shared" si="3"/>
        <v>A4649</v>
      </c>
      <c r="F61" s="1" t="str">
        <f t="shared" si="4"/>
        <v>07/07/2017</v>
      </c>
      <c r="G61" s="1" t="str">
        <f t="shared" si="5"/>
        <v>09/28/2017</v>
      </c>
      <c r="H61" s="3"/>
    </row>
    <row r="62" spans="1:8" x14ac:dyDescent="0.2">
      <c r="A62" s="1" t="s">
        <v>18</v>
      </c>
      <c r="B62" s="1" t="str">
        <f>T("SILIGENTLE AG - SILVER SILICONE BORDERED FOAM DRESSING 4"" X 5""")</f>
        <v>SILIGENTLE AG - SILVER SILICONE BORDERED FOAM DRESSING 4" X 5"</v>
      </c>
      <c r="C62" s="1" t="str">
        <f t="shared" si="2"/>
        <v>DYNAREX CORP</v>
      </c>
      <c r="D62" s="1" t="str">
        <f>T("3085")</f>
        <v>3085</v>
      </c>
      <c r="E62" s="1" t="str">
        <f t="shared" si="3"/>
        <v>A4649</v>
      </c>
      <c r="F62" s="1" t="str">
        <f t="shared" si="4"/>
        <v>07/07/2017</v>
      </c>
      <c r="G62" s="1" t="str">
        <f t="shared" si="5"/>
        <v>09/28/2017</v>
      </c>
      <c r="H62" s="3"/>
    </row>
    <row r="63" spans="1:8" x14ac:dyDescent="0.2">
      <c r="A63" s="5" t="s">
        <v>18</v>
      </c>
      <c r="B63" s="1" t="str">
        <f>T("SILIGENTLE AG - SILVER SILICONE BORDERED FOAM DRESSING 6"" X 6""")</f>
        <v>SILIGENTLE AG - SILVER SILICONE BORDERED FOAM DRESSING 6" X 6"</v>
      </c>
      <c r="C63" s="1" t="str">
        <f t="shared" si="2"/>
        <v>DYNAREX CORP</v>
      </c>
      <c r="D63" s="1" t="str">
        <f>T("3086")</f>
        <v>3086</v>
      </c>
      <c r="E63" s="1" t="str">
        <f t="shared" si="3"/>
        <v>A4649</v>
      </c>
      <c r="F63" s="1" t="str">
        <f t="shared" si="4"/>
        <v>07/07/2017</v>
      </c>
      <c r="G63" s="1" t="str">
        <f t="shared" si="5"/>
        <v>09/28/2017</v>
      </c>
      <c r="H63" s="3"/>
    </row>
    <row r="64" spans="1:8" x14ac:dyDescent="0.2">
      <c r="A64" s="1" t="s">
        <v>17</v>
      </c>
      <c r="B64" s="1" t="str">
        <f>T("WOMEN'S REEF GRAY")</f>
        <v>WOMEN'S REEF GRAY</v>
      </c>
      <c r="C64" s="1" t="str">
        <f>T("ORTHOFEET INC")</f>
        <v>ORTHOFEET INC</v>
      </c>
      <c r="D64" s="1" t="str">
        <f>T("895")</f>
        <v>895</v>
      </c>
      <c r="E64" s="1" t="str">
        <f t="shared" ref="E64:E75" si="6">T("A5500")</f>
        <v>A5500</v>
      </c>
      <c r="F64" s="1" t="str">
        <f>T("09/01/2017")</f>
        <v>09/01/2017</v>
      </c>
      <c r="G64" s="3"/>
      <c r="H64" s="1" t="str">
        <f t="shared" ref="H64:H75" si="7">T("")</f>
        <v/>
      </c>
    </row>
    <row r="65" spans="1:8" x14ac:dyDescent="0.2">
      <c r="A65" s="1" t="s">
        <v>17</v>
      </c>
      <c r="B65" s="1" t="str">
        <f>T("WOMEN'S REEF BLUE")</f>
        <v>WOMEN'S REEF BLUE</v>
      </c>
      <c r="C65" s="1" t="str">
        <f>T("ORTHOFEET INC")</f>
        <v>ORTHOFEET INC</v>
      </c>
      <c r="D65" s="1" t="str">
        <f>T("898")</f>
        <v>898</v>
      </c>
      <c r="E65" s="1" t="str">
        <f t="shared" si="6"/>
        <v>A5500</v>
      </c>
      <c r="F65" s="1" t="str">
        <f>T("09/01/2017")</f>
        <v>09/01/2017</v>
      </c>
      <c r="G65" s="3"/>
      <c r="H65" s="1" t="str">
        <f t="shared" si="7"/>
        <v/>
      </c>
    </row>
    <row r="66" spans="1:8" x14ac:dyDescent="0.2">
      <c r="A66" s="1" t="s">
        <v>17</v>
      </c>
      <c r="B66" s="1" t="str">
        <f>T("MEN'S ALPINE GRAY")</f>
        <v>MEN'S ALPINE GRAY</v>
      </c>
      <c r="C66" s="1" t="str">
        <f>T("ORTHOFEET INC")</f>
        <v>ORTHOFEET INC</v>
      </c>
      <c r="D66" s="1" t="str">
        <f>T("598")</f>
        <v>598</v>
      </c>
      <c r="E66" s="1" t="str">
        <f t="shared" si="6"/>
        <v>A5500</v>
      </c>
      <c r="F66" s="1" t="str">
        <f>T("09/01/2017")</f>
        <v>09/01/2017</v>
      </c>
      <c r="G66" s="3"/>
      <c r="H66" s="1" t="str">
        <f t="shared" si="7"/>
        <v/>
      </c>
    </row>
    <row r="67" spans="1:8" x14ac:dyDescent="0.2">
      <c r="A67" s="1" t="s">
        <v>17</v>
      </c>
      <c r="B67" s="1" t="str">
        <f>T("WOMEN'S VERONA PEWTER")</f>
        <v>WOMEN'S VERONA PEWTER</v>
      </c>
      <c r="C67" s="1" t="str">
        <f>T("ORTHOFEET INC")</f>
        <v>ORTHOFEET INC</v>
      </c>
      <c r="D67" s="1" t="str">
        <f>T("997")</f>
        <v>997</v>
      </c>
      <c r="E67" s="1" t="str">
        <f t="shared" si="6"/>
        <v>A5500</v>
      </c>
      <c r="F67" s="1" t="str">
        <f>T("09/01/2017")</f>
        <v>09/01/2017</v>
      </c>
      <c r="G67" s="3"/>
      <c r="H67" s="1" t="str">
        <f t="shared" si="7"/>
        <v/>
      </c>
    </row>
    <row r="68" spans="1:8" x14ac:dyDescent="0.2">
      <c r="A68" s="1" t="s">
        <v>17</v>
      </c>
      <c r="B68" s="1" t="str">
        <f>T("ELITE")</f>
        <v>ELITE</v>
      </c>
      <c r="C68" s="1" t="str">
        <f>T("HEALER HEALTH LLC (DBA IRUNNER)")</f>
        <v>HEALER HEALTH LLC (DBA IRUNNER)</v>
      </c>
      <c r="D68" s="1" t="str">
        <f>T("713012684617")</f>
        <v>713012684617</v>
      </c>
      <c r="E68" s="1" t="str">
        <f t="shared" si="6"/>
        <v>A5500</v>
      </c>
      <c r="F68" s="1" t="str">
        <f>T("09/13/2017")</f>
        <v>09/13/2017</v>
      </c>
      <c r="G68" s="3"/>
      <c r="H68" s="1" t="str">
        <f t="shared" si="7"/>
        <v/>
      </c>
    </row>
    <row r="69" spans="1:8" x14ac:dyDescent="0.2">
      <c r="A69" s="1" t="s">
        <v>17</v>
      </c>
      <c r="B69" s="1" t="str">
        <f>T("NO 28")</f>
        <v>NO 28</v>
      </c>
      <c r="C69" s="1" t="str">
        <f>T("ANODYNE")</f>
        <v>ANODYNE</v>
      </c>
      <c r="D69" s="1" t="str">
        <f>T("NO 28")</f>
        <v>NO 28</v>
      </c>
      <c r="E69" s="1" t="str">
        <f t="shared" si="6"/>
        <v>A5500</v>
      </c>
      <c r="F69" s="1" t="str">
        <f>T("09/22/2017")</f>
        <v>09/22/2017</v>
      </c>
      <c r="G69" s="3"/>
      <c r="H69" s="1" t="str">
        <f t="shared" si="7"/>
        <v/>
      </c>
    </row>
    <row r="70" spans="1:8" x14ac:dyDescent="0.2">
      <c r="A70" s="1" t="s">
        <v>17</v>
      </c>
      <c r="B70" s="1" t="str">
        <f>T("627V2")</f>
        <v>627V2</v>
      </c>
      <c r="C70" s="1" t="str">
        <f t="shared" ref="C70:C75" si="8">T("NEW BALANCE ATHLETICS INC")</f>
        <v>NEW BALANCE ATHLETICS INC</v>
      </c>
      <c r="D70" s="1" t="str">
        <f>T("MID627B2")</f>
        <v>MID627B2</v>
      </c>
      <c r="E70" s="1" t="str">
        <f t="shared" si="6"/>
        <v>A5500</v>
      </c>
      <c r="F70" s="1" t="str">
        <f>T("09/27/2017")</f>
        <v>09/27/2017</v>
      </c>
      <c r="G70" s="3"/>
      <c r="H70" s="1" t="str">
        <f t="shared" si="7"/>
        <v/>
      </c>
    </row>
    <row r="71" spans="1:8" x14ac:dyDescent="0.2">
      <c r="A71" s="1" t="s">
        <v>17</v>
      </c>
      <c r="B71" s="1" t="str">
        <f>T("627V2")</f>
        <v>627V2</v>
      </c>
      <c r="C71" s="1" t="str">
        <f t="shared" si="8"/>
        <v>NEW BALANCE ATHLETICS INC</v>
      </c>
      <c r="D71" s="1" t="str">
        <f>T("MID627O2")</f>
        <v>MID627O2</v>
      </c>
      <c r="E71" s="1" t="str">
        <f t="shared" si="6"/>
        <v>A5500</v>
      </c>
      <c r="F71" s="1" t="str">
        <f>T("09/27/2017")</f>
        <v>09/27/2017</v>
      </c>
      <c r="G71" s="3"/>
      <c r="H71" s="1" t="str">
        <f t="shared" si="7"/>
        <v/>
      </c>
    </row>
    <row r="72" spans="1:8" x14ac:dyDescent="0.2">
      <c r="A72" s="1" t="s">
        <v>17</v>
      </c>
      <c r="B72" s="1" t="str">
        <f>T("627V2")</f>
        <v>627V2</v>
      </c>
      <c r="C72" s="1" t="str">
        <f t="shared" si="8"/>
        <v>NEW BALANCE ATHLETICS INC</v>
      </c>
      <c r="D72" s="1" t="str">
        <f>T("WID627R2")</f>
        <v>WID627R2</v>
      </c>
      <c r="E72" s="1" t="str">
        <f t="shared" si="6"/>
        <v>A5500</v>
      </c>
      <c r="F72" s="1" t="str">
        <f>T("09/27/2017")</f>
        <v>09/27/2017</v>
      </c>
      <c r="G72" s="3"/>
      <c r="H72" s="1" t="str">
        <f t="shared" si="7"/>
        <v/>
      </c>
    </row>
    <row r="73" spans="1:8" x14ac:dyDescent="0.2">
      <c r="A73" s="1" t="s">
        <v>17</v>
      </c>
      <c r="B73" s="1" t="str">
        <f>T("627V2")</f>
        <v>627V2</v>
      </c>
      <c r="C73" s="1" t="str">
        <f t="shared" si="8"/>
        <v>NEW BALANCE ATHLETICS INC</v>
      </c>
      <c r="D73" s="1" t="str">
        <f>T("WID627P2")</f>
        <v>WID627P2</v>
      </c>
      <c r="E73" s="1" t="str">
        <f t="shared" si="6"/>
        <v>A5500</v>
      </c>
      <c r="F73" s="1" t="str">
        <f>T("09/27/2017")</f>
        <v>09/27/2017</v>
      </c>
      <c r="G73" s="3"/>
      <c r="H73" s="1" t="str">
        <f t="shared" si="7"/>
        <v/>
      </c>
    </row>
    <row r="74" spans="1:8" x14ac:dyDescent="0.2">
      <c r="A74" s="1" t="s">
        <v>17</v>
      </c>
      <c r="B74" s="1" t="str">
        <f>T("MID806V1")</f>
        <v>MID806V1</v>
      </c>
      <c r="C74" s="1" t="str">
        <f t="shared" si="8"/>
        <v>NEW BALANCE ATHLETICS INC</v>
      </c>
      <c r="D74" s="1" t="str">
        <f>T("MID806K1")</f>
        <v>MID806K1</v>
      </c>
      <c r="E74" s="1" t="str">
        <f t="shared" si="6"/>
        <v>A5500</v>
      </c>
      <c r="F74" s="1" t="str">
        <f t="shared" ref="F74:F83" si="9">T("09/28/2017")</f>
        <v>09/28/2017</v>
      </c>
      <c r="G74" s="3"/>
      <c r="H74" s="1" t="str">
        <f t="shared" si="7"/>
        <v/>
      </c>
    </row>
    <row r="75" spans="1:8" x14ac:dyDescent="0.2">
      <c r="A75" s="1" t="s">
        <v>17</v>
      </c>
      <c r="B75" s="1" t="str">
        <f>T("MID806V1")</f>
        <v>MID806V1</v>
      </c>
      <c r="C75" s="1" t="str">
        <f t="shared" si="8"/>
        <v>NEW BALANCE ATHLETICS INC</v>
      </c>
      <c r="D75" s="1" t="str">
        <f>T("MID806S1")</f>
        <v>MID806S1</v>
      </c>
      <c r="E75" s="1" t="str">
        <f t="shared" si="6"/>
        <v>A5500</v>
      </c>
      <c r="F75" s="1" t="str">
        <f t="shared" si="9"/>
        <v>09/28/2017</v>
      </c>
      <c r="G75" s="3"/>
      <c r="H75" s="1" t="str">
        <f t="shared" si="7"/>
        <v/>
      </c>
    </row>
    <row r="76" spans="1:8" x14ac:dyDescent="0.2">
      <c r="A76" s="1" t="s">
        <v>17</v>
      </c>
      <c r="B76" s="1" t="str">
        <f>T("WOMEN'S ONALEE")</f>
        <v>WOMEN'S ONALEE</v>
      </c>
      <c r="C76" s="1" t="str">
        <f t="shared" ref="C76:C83" si="10">T("PROPET USA INC")</f>
        <v>PROPET USA INC</v>
      </c>
      <c r="D76" s="1" t="str">
        <f>T("WAA003J-BLS")</f>
        <v>WAA003J-BLS</v>
      </c>
      <c r="E76" s="1" t="str">
        <f>T("A5500 OR L3216")</f>
        <v>A5500 OR L3216</v>
      </c>
      <c r="F76" s="1" t="str">
        <f t="shared" si="9"/>
        <v>09/28/2017</v>
      </c>
      <c r="G76" s="3"/>
      <c r="H76" s="1" t="str">
        <f>T("USE A5500 WHEN USED FOR THERAPEUTIC SHOES FOR DIABETES. USE L3216 WHEN USED FOR ORTHOPEDIC FOOTWEAR")</f>
        <v>USE A5500 WHEN USED FOR THERAPEUTIC SHOES FOR DIABETES. USE L3216 WHEN USED FOR ORTHOPEDIC FOOTWEAR</v>
      </c>
    </row>
    <row r="77" spans="1:8" x14ac:dyDescent="0.2">
      <c r="A77" s="1" t="s">
        <v>17</v>
      </c>
      <c r="B77" s="1" t="str">
        <f>T("WOMEN'S ONALEE")</f>
        <v>WOMEN'S ONALEE</v>
      </c>
      <c r="C77" s="1" t="str">
        <f t="shared" si="10"/>
        <v>PROPET USA INC</v>
      </c>
      <c r="D77" s="1" t="str">
        <f>T("WAA003J-GRB")</f>
        <v>WAA003J-GRB</v>
      </c>
      <c r="E77" s="1" t="str">
        <f>T("A5500 OR L3216")</f>
        <v>A5500 OR L3216</v>
      </c>
      <c r="F77" s="1" t="str">
        <f t="shared" si="9"/>
        <v>09/28/2017</v>
      </c>
      <c r="G77" s="3"/>
      <c r="H77" s="1" t="str">
        <f>T("USE A5500 WHEN USED FOR THERAPEUTIC SHOES FOR DIABETES. USE L3216 WHEN USED FOR ORTHOPEDIC FOOTWEAR")</f>
        <v>USE A5500 WHEN USED FOR THERAPEUTIC SHOES FOR DIABETES. USE L3216 WHEN USED FOR ORTHOPEDIC FOOTWEAR</v>
      </c>
    </row>
    <row r="78" spans="1:8" x14ac:dyDescent="0.2">
      <c r="A78" s="1" t="s">
        <v>17</v>
      </c>
      <c r="B78" s="1" t="str">
        <f>T("WOMEN'S ONALEE")</f>
        <v>WOMEN'S ONALEE</v>
      </c>
      <c r="C78" s="1" t="str">
        <f t="shared" si="10"/>
        <v>PROPET USA INC</v>
      </c>
      <c r="D78" s="1" t="str">
        <f>T("WAA003J-GRS")</f>
        <v>WAA003J-GRS</v>
      </c>
      <c r="E78" s="1" t="str">
        <f>T("A5500 OR L3216")</f>
        <v>A5500 OR L3216</v>
      </c>
      <c r="F78" s="1" t="str">
        <f t="shared" si="9"/>
        <v>09/28/2017</v>
      </c>
      <c r="G78" s="3"/>
      <c r="H78" s="1" t="str">
        <f>T("USE A5500 WHEN USED FOR THERAPEUTIC SHOES FOR DIABETES. USE L3216 WHEN USED FOR ORTHOPEDIC FOOTWEAR")</f>
        <v>USE A5500 WHEN USED FOR THERAPEUTIC SHOES FOR DIABETES. USE L3216 WHEN USED FOR ORTHOPEDIC FOOTWEAR</v>
      </c>
    </row>
    <row r="79" spans="1:8" x14ac:dyDescent="0.2">
      <c r="A79" s="1" t="s">
        <v>17</v>
      </c>
      <c r="B79" s="1" t="str">
        <f>T("WOMEN'S ONALEE")</f>
        <v>WOMEN'S ONALEE</v>
      </c>
      <c r="C79" s="1" t="str">
        <f t="shared" si="10"/>
        <v>PROPET USA INC</v>
      </c>
      <c r="D79" s="1" t="str">
        <f>T("WAA003J-RDS")</f>
        <v>WAA003J-RDS</v>
      </c>
      <c r="E79" s="1" t="str">
        <f>T("A5500 OR L3216")</f>
        <v>A5500 OR L3216</v>
      </c>
      <c r="F79" s="1" t="str">
        <f t="shared" si="9"/>
        <v>09/28/2017</v>
      </c>
      <c r="G79" s="3"/>
      <c r="H79" s="1" t="str">
        <f>T("USE A5500 WHEN USED FOR THERAPEUTIC SHOES FOR DIABETES. USE L3216 WHEN USED FOR ORTHOPEDIC FOOTWEAR")</f>
        <v>USE A5500 WHEN USED FOR THERAPEUTIC SHOES FOR DIABETES. USE L3216 WHEN USED FOR ORTHOPEDIC FOOTWEAR</v>
      </c>
    </row>
    <row r="80" spans="1:8" x14ac:dyDescent="0.2">
      <c r="A80" s="1" t="s">
        <v>17</v>
      </c>
      <c r="B80" s="1" t="str">
        <f>T("MEN'S MARV")</f>
        <v>MEN'S MARV</v>
      </c>
      <c r="C80" s="1" t="str">
        <f t="shared" si="10"/>
        <v>PROPET USA INC</v>
      </c>
      <c r="D80" s="1" t="str">
        <f>T("MCA002L-BLK")</f>
        <v>MCA002L-BLK</v>
      </c>
      <c r="E80" s="1" t="str">
        <f>T("A5500 OR L3221")</f>
        <v>A5500 OR L3221</v>
      </c>
      <c r="F80" s="1" t="str">
        <f t="shared" si="9"/>
        <v>09/28/2017</v>
      </c>
      <c r="G80" s="3"/>
      <c r="H80" s="1" t="str">
        <f>T("USE A5500 WHEN USED FOR THERAPEUTIC SHOES FOR DIABETES. USE L3221 WHEN USED FOR ORTHOPEDIC FOOTWEAR.")</f>
        <v>USE A5500 WHEN USED FOR THERAPEUTIC SHOES FOR DIABETES. USE L3221 WHEN USED FOR ORTHOPEDIC FOOTWEAR.</v>
      </c>
    </row>
    <row r="81" spans="1:8" x14ac:dyDescent="0.2">
      <c r="A81" s="1" t="s">
        <v>17</v>
      </c>
      <c r="B81" s="1" t="str">
        <f>T("MEN'S MARV")</f>
        <v>MEN'S MARV</v>
      </c>
      <c r="C81" s="1" t="str">
        <f t="shared" si="10"/>
        <v>PROPET USA INC</v>
      </c>
      <c r="D81" s="1" t="str">
        <f>T("MCA002L-BRN")</f>
        <v>MCA002L-BRN</v>
      </c>
      <c r="E81" s="1" t="str">
        <f>T("A5500 OR L3221")</f>
        <v>A5500 OR L3221</v>
      </c>
      <c r="F81" s="1" t="str">
        <f t="shared" si="9"/>
        <v>09/28/2017</v>
      </c>
      <c r="G81" s="3"/>
      <c r="H81" s="1" t="str">
        <f>T("USE A5500 WHEN USED FOR THERAPEUTIC SHOES FOR DIABETES. USE L3221 WHEN USED FOR ORTHOPEDIC FOOTWEAR.")</f>
        <v>USE A5500 WHEN USED FOR THERAPEUTIC SHOES FOR DIABETES. USE L3221 WHEN USED FOR ORTHOPEDIC FOOTWEAR.</v>
      </c>
    </row>
    <row r="82" spans="1:8" x14ac:dyDescent="0.2">
      <c r="A82" s="1" t="s">
        <v>17</v>
      </c>
      <c r="B82" s="1" t="str">
        <f>T("MEN'S MARV STRAP")</f>
        <v>MEN'S MARV STRAP</v>
      </c>
      <c r="C82" s="1" t="str">
        <f t="shared" si="10"/>
        <v>PROPET USA INC</v>
      </c>
      <c r="D82" s="1" t="str">
        <f>T("MCA003L-BLK")</f>
        <v>MCA003L-BLK</v>
      </c>
      <c r="E82" s="1" t="str">
        <f>T("A5500 OR L3221")</f>
        <v>A5500 OR L3221</v>
      </c>
      <c r="F82" s="1" t="str">
        <f t="shared" si="9"/>
        <v>09/28/2017</v>
      </c>
      <c r="G82" s="3"/>
      <c r="H82" s="1" t="str">
        <f>T("USE A5500 WHEN USED FOR THERAPEUTIC SHOES FOR DIABETES. USE L3221 WHEN USED FOR ORTHOPEDIC FOOTWEAR.")</f>
        <v>USE A5500 WHEN USED FOR THERAPEUTIC SHOES FOR DIABETES. USE L3221 WHEN USED FOR ORTHOPEDIC FOOTWEAR.</v>
      </c>
    </row>
    <row r="83" spans="1:8" x14ac:dyDescent="0.2">
      <c r="A83" s="1" t="s">
        <v>17</v>
      </c>
      <c r="B83" s="1" t="str">
        <f>T("MEN'S MARV STRAP")</f>
        <v>MEN'S MARV STRAP</v>
      </c>
      <c r="C83" s="1" t="str">
        <f t="shared" si="10"/>
        <v>PROPET USA INC</v>
      </c>
      <c r="D83" s="1" t="str">
        <f>T("MCA003L-BRN")</f>
        <v>MCA003L-BRN</v>
      </c>
      <c r="E83" s="1" t="str">
        <f>T("A5500 OR L3221")</f>
        <v>A5500 OR L3221</v>
      </c>
      <c r="F83" s="1" t="str">
        <f t="shared" si="9"/>
        <v>09/28/2017</v>
      </c>
      <c r="G83" s="3"/>
      <c r="H83" s="1" t="str">
        <f>T("USE A5500 WHEN USED FOR THERAPEUTIC SHOES FOR DIABETES. USE L3221 WHEN USED FOR ORTHOPEDIC FOOTWEAR.")</f>
        <v>USE A5500 WHEN USED FOR THERAPEUTIC SHOES FOR DIABETES. USE L3221 WHEN USED FOR ORTHOPEDIC FOOTWEAR.</v>
      </c>
    </row>
    <row r="84" spans="1:8" x14ac:dyDescent="0.2">
      <c r="A84" s="1" t="s">
        <v>17</v>
      </c>
      <c r="B84" s="1" t="str">
        <f>T("COLLAGEN PARTICLES")</f>
        <v>COLLAGEN PARTICLES</v>
      </c>
      <c r="C84" s="1" t="str">
        <f>T("GENTELL")</f>
        <v>GENTELL</v>
      </c>
      <c r="D84" s="1" t="str">
        <f>T("GEN-18000")</f>
        <v>GEN-18000</v>
      </c>
      <c r="E84" s="1" t="str">
        <f>T("A6010")</f>
        <v>A6010</v>
      </c>
      <c r="F84" s="1" t="str">
        <f>T("09/29/2017")</f>
        <v>09/29/2017</v>
      </c>
      <c r="G84" s="3"/>
      <c r="H84" s="1" t="str">
        <f t="shared" ref="H84:H127" si="11">T("")</f>
        <v/>
      </c>
    </row>
    <row r="85" spans="1:8" x14ac:dyDescent="0.2">
      <c r="A85" s="1" t="s">
        <v>17</v>
      </c>
      <c r="B85" s="1" t="str">
        <f>T("COLLAGEN WOUND DRESSING 2"" X 2""")</f>
        <v>COLLAGEN WOUND DRESSING 2" X 2"</v>
      </c>
      <c r="C85" s="1" t="str">
        <f>T("GENTELL")</f>
        <v>GENTELL</v>
      </c>
      <c r="D85" s="1" t="str">
        <f>T("GEN-18200")</f>
        <v>GEN-18200</v>
      </c>
      <c r="E85" s="1" t="str">
        <f>T("A6021")</f>
        <v>A6021</v>
      </c>
      <c r="F85" s="1" t="str">
        <f>T("09/29/2017")</f>
        <v>09/29/2017</v>
      </c>
      <c r="G85" s="3"/>
      <c r="H85" s="1" t="str">
        <f t="shared" si="11"/>
        <v/>
      </c>
    </row>
    <row r="86" spans="1:8" x14ac:dyDescent="0.2">
      <c r="A86" s="1" t="s">
        <v>17</v>
      </c>
      <c r="B86" s="1" t="s">
        <v>114</v>
      </c>
      <c r="C86" s="1" t="s">
        <v>15</v>
      </c>
      <c r="D86" s="1" t="s">
        <v>53</v>
      </c>
      <c r="E86" s="1" t="s">
        <v>54</v>
      </c>
      <c r="F86" s="1" t="s">
        <v>26</v>
      </c>
      <c r="G86" s="3"/>
      <c r="H86" s="1" t="str">
        <f t="shared" si="11"/>
        <v/>
      </c>
    </row>
    <row r="87" spans="1:8" x14ac:dyDescent="0.2">
      <c r="A87" s="1" t="s">
        <v>17</v>
      </c>
      <c r="B87" s="1" t="s">
        <v>115</v>
      </c>
      <c r="C87" s="1" t="s">
        <v>15</v>
      </c>
      <c r="D87" s="1" t="s">
        <v>55</v>
      </c>
      <c r="E87" s="1" t="s">
        <v>56</v>
      </c>
      <c r="F87" s="1" t="s">
        <v>26</v>
      </c>
      <c r="G87" s="3"/>
      <c r="H87" s="1" t="str">
        <f t="shared" si="11"/>
        <v/>
      </c>
    </row>
    <row r="88" spans="1:8" x14ac:dyDescent="0.2">
      <c r="A88" s="1" t="s">
        <v>17</v>
      </c>
      <c r="B88" s="1" t="str">
        <f>T("MEDVANCE SILICONE FOAM")</f>
        <v>MEDVANCE SILICONE FOAM</v>
      </c>
      <c r="C88" s="1" t="str">
        <f>T("MED WAY INC")</f>
        <v>MED WAY INC</v>
      </c>
      <c r="D88" s="1" t="str">
        <f>T("V3000303")</f>
        <v>V3000303</v>
      </c>
      <c r="E88" s="1" t="str">
        <f>T("A6209")</f>
        <v>A6209</v>
      </c>
      <c r="F88" s="1" t="str">
        <f>T("09/27/2017")</f>
        <v>09/27/2017</v>
      </c>
      <c r="G88" s="3"/>
      <c r="H88" s="1" t="str">
        <f t="shared" si="11"/>
        <v/>
      </c>
    </row>
    <row r="89" spans="1:8" x14ac:dyDescent="0.2">
      <c r="A89" s="1" t="s">
        <v>17</v>
      </c>
      <c r="B89" s="1" t="str">
        <f>T("MEDVANCE SILICONE FOAM")</f>
        <v>MEDVANCE SILICONE FOAM</v>
      </c>
      <c r="C89" s="1" t="str">
        <f>T("MED WAY INC")</f>
        <v>MED WAY INC</v>
      </c>
      <c r="D89" s="1" t="str">
        <f>T("V3000606")</f>
        <v>V3000606</v>
      </c>
      <c r="E89" s="1" t="str">
        <f>T("A6210")</f>
        <v>A6210</v>
      </c>
      <c r="F89" s="1" t="str">
        <f>T("09/27/2017")</f>
        <v>09/27/2017</v>
      </c>
      <c r="G89" s="3"/>
      <c r="H89" s="1" t="str">
        <f t="shared" si="11"/>
        <v/>
      </c>
    </row>
    <row r="90" spans="1:8" x14ac:dyDescent="0.2">
      <c r="A90" s="1" t="s">
        <v>17</v>
      </c>
      <c r="B90" s="1" t="str">
        <f>T("MEDVANCE FOAM WITH BORDER")</f>
        <v>MEDVANCE FOAM WITH BORDER</v>
      </c>
      <c r="C90" s="1" t="str">
        <f>T("MED WAY INC")</f>
        <v>MED WAY INC</v>
      </c>
      <c r="D90" s="1" t="str">
        <f>T("V1010404")</f>
        <v>V1010404</v>
      </c>
      <c r="E90" s="1" t="str">
        <f>T("A6212")</f>
        <v>A6212</v>
      </c>
      <c r="F90" s="1" t="str">
        <f>T("09/01/2017")</f>
        <v>09/01/2017</v>
      </c>
      <c r="G90" s="3"/>
      <c r="H90" s="1" t="str">
        <f t="shared" si="11"/>
        <v/>
      </c>
    </row>
    <row r="91" spans="1:8" x14ac:dyDescent="0.2">
      <c r="A91" s="1" t="s">
        <v>17</v>
      </c>
      <c r="B91" s="1" t="s">
        <v>116</v>
      </c>
      <c r="C91" s="1" t="s">
        <v>15</v>
      </c>
      <c r="D91" s="1" t="s">
        <v>57</v>
      </c>
      <c r="E91" s="1" t="s">
        <v>9</v>
      </c>
      <c r="F91" s="1" t="s">
        <v>26</v>
      </c>
      <c r="G91" s="3"/>
      <c r="H91" s="1" t="str">
        <f t="shared" si="11"/>
        <v/>
      </c>
    </row>
    <row r="92" spans="1:8" x14ac:dyDescent="0.2">
      <c r="A92" s="1" t="s">
        <v>17</v>
      </c>
      <c r="B92" s="1" t="s">
        <v>117</v>
      </c>
      <c r="C92" s="1" t="s">
        <v>15</v>
      </c>
      <c r="D92" s="1" t="s">
        <v>58</v>
      </c>
      <c r="E92" s="1" t="s">
        <v>9</v>
      </c>
      <c r="F92" s="1" t="s">
        <v>26</v>
      </c>
      <c r="G92" s="3"/>
      <c r="H92" s="1" t="str">
        <f t="shared" si="11"/>
        <v/>
      </c>
    </row>
    <row r="93" spans="1:8" x14ac:dyDescent="0.2">
      <c r="A93" s="1" t="s">
        <v>17</v>
      </c>
      <c r="B93" s="1" t="str">
        <f>T("SILIGENTLE AG - SILVER SILICONE BORDERED FOAM DRESSING 2"" X 2""")</f>
        <v>SILIGENTLE AG - SILVER SILICONE BORDERED FOAM DRESSING 2" X 2"</v>
      </c>
      <c r="C93" s="1" t="str">
        <f>T("DYNAREX CORP")</f>
        <v>DYNAREX CORP</v>
      </c>
      <c r="D93" s="1" t="str">
        <f>T("3084")</f>
        <v>3084</v>
      </c>
      <c r="E93" s="1" t="str">
        <f>T("A6212")</f>
        <v>A6212</v>
      </c>
      <c r="F93" s="1" t="str">
        <f>T("09/29/2017")</f>
        <v>09/29/2017</v>
      </c>
      <c r="G93" s="3"/>
      <c r="H93" s="1" t="str">
        <f t="shared" si="11"/>
        <v/>
      </c>
    </row>
    <row r="94" spans="1:8" x14ac:dyDescent="0.2">
      <c r="A94" s="1" t="s">
        <v>17</v>
      </c>
      <c r="B94" s="1" t="str">
        <f>T("SILIGENTLE AG - SILVER SILICONE BORDERED FOAM DRESSING 4"" X 5""")</f>
        <v>SILIGENTLE AG - SILVER SILICONE BORDERED FOAM DRESSING 4" X 5"</v>
      </c>
      <c r="C94" s="1" t="str">
        <f>T("DYNAREX CORP")</f>
        <v>DYNAREX CORP</v>
      </c>
      <c r="D94" s="1" t="str">
        <f>T("3085")</f>
        <v>3085</v>
      </c>
      <c r="E94" s="1" t="str">
        <f>T("A6212")</f>
        <v>A6212</v>
      </c>
      <c r="F94" s="1" t="str">
        <f>T("09/29/2017")</f>
        <v>09/29/2017</v>
      </c>
      <c r="G94" s="3"/>
      <c r="H94" s="1" t="str">
        <f t="shared" si="11"/>
        <v/>
      </c>
    </row>
    <row r="95" spans="1:8" x14ac:dyDescent="0.2">
      <c r="A95" s="1" t="s">
        <v>17</v>
      </c>
      <c r="B95" s="1" t="str">
        <f>T("POLYMEM SURGICAL C-SECTION DRESSING")</f>
        <v>POLYMEM SURGICAL C-SECTION DRESSING</v>
      </c>
      <c r="C95" s="1" t="str">
        <f>T("FERRIS MFG CORP")</f>
        <v>FERRIS MFG CORP</v>
      </c>
      <c r="D95" s="1" t="str">
        <f>T("0481")</f>
        <v>0481</v>
      </c>
      <c r="E95" s="1" t="str">
        <f>T("A6213")</f>
        <v>A6213</v>
      </c>
      <c r="F95" s="1" t="str">
        <f>T("09/05/2017")</f>
        <v>09/05/2017</v>
      </c>
      <c r="G95" s="3"/>
      <c r="H95" s="1" t="str">
        <f t="shared" si="11"/>
        <v/>
      </c>
    </row>
    <row r="96" spans="1:8" x14ac:dyDescent="0.2">
      <c r="A96" s="1" t="s">
        <v>17</v>
      </c>
      <c r="B96" s="1" t="str">
        <f>T("MEDVANCE SILICONE FOAM WITH BORDER 9"" X 9""")</f>
        <v>MEDVANCE SILICONE FOAM WITH BORDER 9" X 9"</v>
      </c>
      <c r="C96" s="1" t="str">
        <f>T("MED WAY INC")</f>
        <v>MED WAY INC</v>
      </c>
      <c r="D96" s="1" t="str">
        <f>T("V3110909")</f>
        <v>V3110909</v>
      </c>
      <c r="E96" s="1" t="str">
        <f>T("A6213")</f>
        <v>A6213</v>
      </c>
      <c r="F96" s="1" t="str">
        <f>T("09/27/2017")</f>
        <v>09/27/2017</v>
      </c>
      <c r="G96" s="3"/>
      <c r="H96" s="1" t="str">
        <f t="shared" si="11"/>
        <v/>
      </c>
    </row>
    <row r="97" spans="1:8" x14ac:dyDescent="0.2">
      <c r="A97" s="1" t="s">
        <v>17</v>
      </c>
      <c r="B97" s="1" t="str">
        <f>T("SILIGENTLE AG - SILVER SILICONE BORDERED FOAM DRESSING 6"" X 6""")</f>
        <v>SILIGENTLE AG - SILVER SILICONE BORDERED FOAM DRESSING 6" X 6"</v>
      </c>
      <c r="C97" s="1" t="str">
        <f>T("DYNAREX CORP")</f>
        <v>DYNAREX CORP</v>
      </c>
      <c r="D97" s="1" t="str">
        <f>T("3086")</f>
        <v>3086</v>
      </c>
      <c r="E97" s="1" t="str">
        <f>T("A6213")</f>
        <v>A6213</v>
      </c>
      <c r="F97" s="1" t="str">
        <f>T("09/29/2017")</f>
        <v>09/29/2017</v>
      </c>
      <c r="G97" s="3"/>
      <c r="H97" s="1" t="str">
        <f t="shared" si="11"/>
        <v/>
      </c>
    </row>
    <row r="98" spans="1:8" x14ac:dyDescent="0.2">
      <c r="A98" s="1" t="s">
        <v>17</v>
      </c>
      <c r="B98" s="1" t="str">
        <f>T("PREVISENSE NO STING ANTIMICROBIAL BARRIER FILM")</f>
        <v>PREVISENSE NO STING ANTIMICROBIAL BARRIER FILM</v>
      </c>
      <c r="C98" s="1" t="str">
        <f>T("MOLNLYCKE HEALTH CARE")</f>
        <v>MOLNLYCKE HEALTH CARE</v>
      </c>
      <c r="D98" s="1" t="str">
        <f>T("10006528")</f>
        <v>10006528</v>
      </c>
      <c r="E98" s="1" t="str">
        <f>T("A6250")</f>
        <v>A6250</v>
      </c>
      <c r="F98" s="1" t="str">
        <f>T("09/12/2017")</f>
        <v>09/12/2017</v>
      </c>
      <c r="G98" s="3"/>
      <c r="H98" s="1" t="str">
        <f t="shared" si="11"/>
        <v/>
      </c>
    </row>
    <row r="99" spans="1:8" x14ac:dyDescent="0.2">
      <c r="A99" s="1" t="s">
        <v>17</v>
      </c>
      <c r="B99" s="1" t="str">
        <f>T("PREVISENSE NO STING BARRIER FILM 28 ML")</f>
        <v>PREVISENSE NO STING BARRIER FILM 28 ML</v>
      </c>
      <c r="C99" s="1" t="str">
        <f>T("MOLNLYCKE HEALTH CARE")</f>
        <v>MOLNLYCKE HEALTH CARE</v>
      </c>
      <c r="D99" s="1" t="str">
        <f>T("10006028")</f>
        <v>10006028</v>
      </c>
      <c r="E99" s="1" t="str">
        <f>T("A6250")</f>
        <v>A6250</v>
      </c>
      <c r="F99" s="1" t="str">
        <f>T("09/12/2017")</f>
        <v>09/12/2017</v>
      </c>
      <c r="G99" s="3"/>
      <c r="H99" s="1" t="str">
        <f t="shared" si="11"/>
        <v/>
      </c>
    </row>
    <row r="100" spans="1:8" x14ac:dyDescent="0.2">
      <c r="A100" s="1" t="s">
        <v>17</v>
      </c>
      <c r="B100" s="1" t="str">
        <f>T("DYNASORB - SUPER ABSORBENT DRESSING NON-ADHERENT 4"" X 4""")</f>
        <v>DYNASORB - SUPER ABSORBENT DRESSING NON-ADHERENT 4" X 4"</v>
      </c>
      <c r="C100" s="1" t="str">
        <f>T("DYNAREX CORP")</f>
        <v>DYNAREX CORP</v>
      </c>
      <c r="D100" s="1" t="str">
        <f>T("3087")</f>
        <v>3087</v>
      </c>
      <c r="E100" s="1" t="str">
        <f>T("A6251")</f>
        <v>A6251</v>
      </c>
      <c r="F100" s="1" t="str">
        <f>T("09/29/2017")</f>
        <v>09/29/2017</v>
      </c>
      <c r="G100" s="3"/>
      <c r="H100" s="1" t="str">
        <f t="shared" si="11"/>
        <v/>
      </c>
    </row>
    <row r="101" spans="1:8" x14ac:dyDescent="0.2">
      <c r="A101" s="1" t="s">
        <v>17</v>
      </c>
      <c r="B101" s="1" t="str">
        <f>T("DYNASORB - SUPER ABSORBENT DRESSING WITH SELF-ADHERENT CONTACT 4"" X 4""")</f>
        <v>DYNASORB - SUPER ABSORBENT DRESSING WITH SELF-ADHERENT CONTACT 4" X 4"</v>
      </c>
      <c r="C101" s="1" t="str">
        <f>T("DYNAREX CORP")</f>
        <v>DYNAREX CORP</v>
      </c>
      <c r="D101" s="1" t="str">
        <f>T("3089")</f>
        <v>3089</v>
      </c>
      <c r="E101" s="1" t="str">
        <f>T("A6251")</f>
        <v>A6251</v>
      </c>
      <c r="F101" s="1" t="str">
        <f>T("09/29/2017")</f>
        <v>09/29/2017</v>
      </c>
      <c r="G101" s="3"/>
      <c r="H101" s="1" t="str">
        <f t="shared" si="11"/>
        <v/>
      </c>
    </row>
    <row r="102" spans="1:8" x14ac:dyDescent="0.2">
      <c r="A102" s="1" t="s">
        <v>17</v>
      </c>
      <c r="B102" s="1" t="str">
        <f>T("DYNASORB - SUPER ABSORBENT DRESSING WITH SELF-ADHERENT CONTACT 6"" X 6""")</f>
        <v>DYNASORB - SUPER ABSORBENT DRESSING WITH SELF-ADHERENT CONTACT 6" X 6"</v>
      </c>
      <c r="C102" s="1" t="str">
        <f>T("DYNAREX CORP")</f>
        <v>DYNAREX CORP</v>
      </c>
      <c r="D102" s="1" t="str">
        <f>T("3090")</f>
        <v>3090</v>
      </c>
      <c r="E102" s="1" t="str">
        <f>T("A6252")</f>
        <v>A6252</v>
      </c>
      <c r="F102" s="1" t="str">
        <f>T("09/29/2017")</f>
        <v>09/29/2017</v>
      </c>
      <c r="G102" s="3"/>
      <c r="H102" s="1" t="str">
        <f t="shared" si="11"/>
        <v/>
      </c>
    </row>
    <row r="103" spans="1:8" x14ac:dyDescent="0.2">
      <c r="A103" s="1" t="s">
        <v>17</v>
      </c>
      <c r="B103" s="1" t="str">
        <f>T("DYNASORB - SUPER ABSORBENT DRESSING NON-ADHERENT 6"" X 6""")</f>
        <v>DYNASORB - SUPER ABSORBENT DRESSING NON-ADHERENT 6" X 6"</v>
      </c>
      <c r="C103" s="1" t="str">
        <f>T("DYNAREX CORP")</f>
        <v>DYNAREX CORP</v>
      </c>
      <c r="D103" s="1" t="str">
        <f>T("3088")</f>
        <v>3088</v>
      </c>
      <c r="E103" s="1" t="str">
        <f>T("A6252")</f>
        <v>A6252</v>
      </c>
      <c r="F103" s="1" t="str">
        <f>T("09/29/2017")</f>
        <v>09/29/2017</v>
      </c>
      <c r="G103" s="3"/>
      <c r="H103" s="1" t="str">
        <f t="shared" si="11"/>
        <v/>
      </c>
    </row>
    <row r="104" spans="1:8" x14ac:dyDescent="0.2">
      <c r="A104" s="1" t="s">
        <v>17</v>
      </c>
      <c r="B104" s="1" t="str">
        <f>T("IODOSORB")</f>
        <v>IODOSORB</v>
      </c>
      <c r="C104" s="1" t="str">
        <f>T("SMITH &amp; NEPHEW INC")</f>
        <v>SMITH &amp; NEPHEW INC</v>
      </c>
      <c r="D104" s="1" t="str">
        <f>T("6602125040")</f>
        <v>6602125040</v>
      </c>
      <c r="E104" s="1" t="str">
        <f>T("A6260")</f>
        <v>A6260</v>
      </c>
      <c r="F104" s="1" t="str">
        <f>T("09/07/2017")</f>
        <v>09/07/2017</v>
      </c>
      <c r="G104" s="3"/>
      <c r="H104" s="1" t="str">
        <f t="shared" si="11"/>
        <v/>
      </c>
    </row>
    <row r="105" spans="1:8" x14ac:dyDescent="0.2">
      <c r="A105" s="1" t="s">
        <v>17</v>
      </c>
      <c r="B105" s="1" t="str">
        <f>T("IODOSORB")</f>
        <v>IODOSORB</v>
      </c>
      <c r="C105" s="1" t="str">
        <f>T("SMITH &amp; NEPHEW INC")</f>
        <v>SMITH &amp; NEPHEW INC</v>
      </c>
      <c r="D105" s="1" t="str">
        <f>T("6602124014")</f>
        <v>6602124014</v>
      </c>
      <c r="E105" s="1" t="str">
        <f>T("A6260")</f>
        <v>A6260</v>
      </c>
      <c r="F105" s="1" t="str">
        <f>T("09/07/2017")</f>
        <v>09/07/2017</v>
      </c>
      <c r="G105" s="3"/>
      <c r="H105" s="1" t="str">
        <f t="shared" si="11"/>
        <v/>
      </c>
    </row>
    <row r="106" spans="1:8" x14ac:dyDescent="0.2">
      <c r="A106" s="1" t="s">
        <v>18</v>
      </c>
      <c r="B106" s="1" t="str">
        <f>T("IODOSORB CADEXOMER IODINE GEL")</f>
        <v>IODOSORB CADEXOMER IODINE GEL</v>
      </c>
      <c r="C106" s="1" t="str">
        <f>T("SMITH &amp; NEPHEW INC")</f>
        <v>SMITH &amp; NEPHEW INC</v>
      </c>
      <c r="D106" s="1" t="str">
        <f>T("6602125040")</f>
        <v>6602125040</v>
      </c>
      <c r="E106" s="1" t="str">
        <f>T("A6260")</f>
        <v>A6260</v>
      </c>
      <c r="F106" s="1" t="str">
        <f>T("01/01/2016")</f>
        <v>01/01/2016</v>
      </c>
      <c r="G106" s="1" t="str">
        <f>T("09/06/2017")</f>
        <v>09/06/2017</v>
      </c>
      <c r="H106" s="1" t="str">
        <f t="shared" si="11"/>
        <v/>
      </c>
    </row>
    <row r="107" spans="1:8" ht="15.75" customHeight="1" x14ac:dyDescent="0.2">
      <c r="A107" s="1" t="s">
        <v>18</v>
      </c>
      <c r="B107" s="1" t="str">
        <f>T("IODOSORB CADEXOMER IODINE GEL 10G")</f>
        <v>IODOSORB CADEXOMER IODINE GEL 10G</v>
      </c>
      <c r="C107" s="1" t="str">
        <f>T("SMITH &amp; NEPHEW INC")</f>
        <v>SMITH &amp; NEPHEW INC</v>
      </c>
      <c r="D107" s="1" t="str">
        <f>T("6602124014")</f>
        <v>6602124014</v>
      </c>
      <c r="E107" s="1" t="str">
        <f>T("A6260")</f>
        <v>A6260</v>
      </c>
      <c r="F107" s="1" t="str">
        <f>T("01/01/2016")</f>
        <v>01/01/2016</v>
      </c>
      <c r="G107" s="1" t="str">
        <f>T("09/06/2017")</f>
        <v>09/06/2017</v>
      </c>
      <c r="H107" s="1" t="str">
        <f t="shared" si="11"/>
        <v/>
      </c>
    </row>
    <row r="108" spans="1:8" x14ac:dyDescent="0.2">
      <c r="A108" s="1" t="s">
        <v>17</v>
      </c>
      <c r="B108" s="1" t="str">
        <f>T("TWOPRESS 2")</f>
        <v>TWOPRESS 2</v>
      </c>
      <c r="C108" s="1" t="str">
        <f>T("HARTMANN USA INC")</f>
        <v>HARTMANN USA INC</v>
      </c>
      <c r="D108" s="1" t="str">
        <f>T("931687")</f>
        <v>931687</v>
      </c>
      <c r="E108" s="1" t="str">
        <f>T("A6452+A6441")</f>
        <v>A6452+A6441</v>
      </c>
      <c r="F108" s="1" t="str">
        <f>T("09/01/2017")</f>
        <v>09/01/2017</v>
      </c>
      <c r="G108" s="3"/>
      <c r="H108" s="1" t="str">
        <f t="shared" si="11"/>
        <v/>
      </c>
    </row>
    <row r="109" spans="1:8" x14ac:dyDescent="0.2">
      <c r="A109" s="1" t="s">
        <v>17</v>
      </c>
      <c r="B109" s="1" t="str">
        <f>T("FARROWWRAP 4000 LEGPIECE REGULAR EXTRA SMALL TAN")</f>
        <v>FARROWWRAP 4000 LEGPIECE REGULAR EXTRA SMALL TAN</v>
      </c>
      <c r="C109" s="1" t="str">
        <f t="shared" ref="C109:C124" si="12">T("BSN MEDICAL INC")</f>
        <v>BSN MEDICAL INC</v>
      </c>
      <c r="D109" s="1" t="str">
        <f>T("76661-00")</f>
        <v>76661-00</v>
      </c>
      <c r="E109" s="1" t="str">
        <f t="shared" ref="E109:E124" si="13">T("A6545")</f>
        <v>A6545</v>
      </c>
      <c r="F109" s="1" t="str">
        <f t="shared" ref="F109:F124" si="14">T("09/28/2017")</f>
        <v>09/28/2017</v>
      </c>
      <c r="G109" s="3"/>
      <c r="H109" s="1" t="str">
        <f t="shared" si="11"/>
        <v/>
      </c>
    </row>
    <row r="110" spans="1:8" x14ac:dyDescent="0.2">
      <c r="A110" s="1" t="s">
        <v>17</v>
      </c>
      <c r="B110" s="1" t="str">
        <f>T("FARROWWRAP 4000 LEGPIECE REGULAR SMALL TAN")</f>
        <v>FARROWWRAP 4000 LEGPIECE REGULAR SMALL TAN</v>
      </c>
      <c r="C110" s="1" t="str">
        <f t="shared" si="12"/>
        <v>BSN MEDICAL INC</v>
      </c>
      <c r="D110" s="1" t="str">
        <f>T("76661-01")</f>
        <v>76661-01</v>
      </c>
      <c r="E110" s="1" t="str">
        <f t="shared" si="13"/>
        <v>A6545</v>
      </c>
      <c r="F110" s="1" t="str">
        <f t="shared" si="14"/>
        <v>09/28/2017</v>
      </c>
      <c r="G110" s="3"/>
      <c r="H110" s="1" t="str">
        <f t="shared" si="11"/>
        <v/>
      </c>
    </row>
    <row r="111" spans="1:8" x14ac:dyDescent="0.2">
      <c r="A111" s="1" t="s">
        <v>17</v>
      </c>
      <c r="B111" s="1" t="str">
        <f>T("FARROWWRAP 4000 LEGPIECE REGULAR MEDIUM TAN")</f>
        <v>FARROWWRAP 4000 LEGPIECE REGULAR MEDIUM TAN</v>
      </c>
      <c r="C111" s="1" t="str">
        <f t="shared" si="12"/>
        <v>BSN MEDICAL INC</v>
      </c>
      <c r="D111" s="1" t="str">
        <f>T("76661-02")</f>
        <v>76661-02</v>
      </c>
      <c r="E111" s="1" t="str">
        <f t="shared" si="13"/>
        <v>A6545</v>
      </c>
      <c r="F111" s="1" t="str">
        <f t="shared" si="14"/>
        <v>09/28/2017</v>
      </c>
      <c r="G111" s="3"/>
      <c r="H111" s="1" t="str">
        <f t="shared" si="11"/>
        <v/>
      </c>
    </row>
    <row r="112" spans="1:8" x14ac:dyDescent="0.2">
      <c r="A112" s="1" t="s">
        <v>17</v>
      </c>
      <c r="B112" s="1" t="str">
        <f>T("FARROWWRAP 4000 LEGPIECE REGULAR LARGE TAN")</f>
        <v>FARROWWRAP 4000 LEGPIECE REGULAR LARGE TAN</v>
      </c>
      <c r="C112" s="1" t="str">
        <f t="shared" si="12"/>
        <v>BSN MEDICAL INC</v>
      </c>
      <c r="D112" s="1" t="str">
        <f>T("76661-03")</f>
        <v>76661-03</v>
      </c>
      <c r="E112" s="1" t="str">
        <f t="shared" si="13"/>
        <v>A6545</v>
      </c>
      <c r="F112" s="1" t="str">
        <f t="shared" si="14"/>
        <v>09/28/2017</v>
      </c>
      <c r="G112" s="3"/>
      <c r="H112" s="1" t="str">
        <f t="shared" si="11"/>
        <v/>
      </c>
    </row>
    <row r="113" spans="1:8" x14ac:dyDescent="0.2">
      <c r="A113" s="1" t="s">
        <v>17</v>
      </c>
      <c r="B113" s="1" t="str">
        <f>T("FARROWWRAP 4000 LEGPIECE TALL EXTRA SMALL TAN")</f>
        <v>FARROWWRAP 4000 LEGPIECE TALL EXTRA SMALL TAN</v>
      </c>
      <c r="C113" s="1" t="str">
        <f t="shared" si="12"/>
        <v>BSN MEDICAL INC</v>
      </c>
      <c r="D113" s="1" t="str">
        <f>T("76661-04")</f>
        <v>76661-04</v>
      </c>
      <c r="E113" s="1" t="str">
        <f t="shared" si="13"/>
        <v>A6545</v>
      </c>
      <c r="F113" s="1" t="str">
        <f t="shared" si="14"/>
        <v>09/28/2017</v>
      </c>
      <c r="G113" s="3"/>
      <c r="H113" s="1" t="str">
        <f t="shared" si="11"/>
        <v/>
      </c>
    </row>
    <row r="114" spans="1:8" x14ac:dyDescent="0.2">
      <c r="A114" s="1" t="s">
        <v>17</v>
      </c>
      <c r="B114" s="1" t="str">
        <f>T("FARROWWRAP 4000 LEGPIECE TALL SMALL TAN")</f>
        <v>FARROWWRAP 4000 LEGPIECE TALL SMALL TAN</v>
      </c>
      <c r="C114" s="1" t="str">
        <f t="shared" si="12"/>
        <v>BSN MEDICAL INC</v>
      </c>
      <c r="D114" s="1" t="str">
        <f>T("76661-05")</f>
        <v>76661-05</v>
      </c>
      <c r="E114" s="1" t="str">
        <f t="shared" si="13"/>
        <v>A6545</v>
      </c>
      <c r="F114" s="1" t="str">
        <f t="shared" si="14"/>
        <v>09/28/2017</v>
      </c>
      <c r="G114" s="3"/>
      <c r="H114" s="1" t="str">
        <f t="shared" si="11"/>
        <v/>
      </c>
    </row>
    <row r="115" spans="1:8" x14ac:dyDescent="0.2">
      <c r="A115" s="1" t="s">
        <v>17</v>
      </c>
      <c r="B115" s="1" t="str">
        <f>T("FARROWWRAP 4000 LEGPIECE TALL MEDIUM TAN")</f>
        <v>FARROWWRAP 4000 LEGPIECE TALL MEDIUM TAN</v>
      </c>
      <c r="C115" s="1" t="str">
        <f t="shared" si="12"/>
        <v>BSN MEDICAL INC</v>
      </c>
      <c r="D115" s="1" t="str">
        <f>T("76661-06")</f>
        <v>76661-06</v>
      </c>
      <c r="E115" s="1" t="str">
        <f t="shared" si="13"/>
        <v>A6545</v>
      </c>
      <c r="F115" s="1" t="str">
        <f t="shared" si="14"/>
        <v>09/28/2017</v>
      </c>
      <c r="G115" s="3"/>
      <c r="H115" s="1" t="str">
        <f t="shared" si="11"/>
        <v/>
      </c>
    </row>
    <row r="116" spans="1:8" x14ac:dyDescent="0.2">
      <c r="A116" s="1" t="s">
        <v>17</v>
      </c>
      <c r="B116" s="1" t="str">
        <f>T("FARROWWRAP 4000 LEGPIECE TALL LARGE TAN")</f>
        <v>FARROWWRAP 4000 LEGPIECE TALL LARGE TAN</v>
      </c>
      <c r="C116" s="1" t="str">
        <f t="shared" si="12"/>
        <v>BSN MEDICAL INC</v>
      </c>
      <c r="D116" s="1" t="str">
        <f>T("76661-07")</f>
        <v>76661-07</v>
      </c>
      <c r="E116" s="1" t="str">
        <f t="shared" si="13"/>
        <v>A6545</v>
      </c>
      <c r="F116" s="1" t="str">
        <f t="shared" si="14"/>
        <v>09/28/2017</v>
      </c>
      <c r="G116" s="3"/>
      <c r="H116" s="1" t="str">
        <f t="shared" si="11"/>
        <v/>
      </c>
    </row>
    <row r="117" spans="1:8" x14ac:dyDescent="0.2">
      <c r="A117" s="1" t="s">
        <v>17</v>
      </c>
      <c r="B117" s="1" t="str">
        <f>T("FARROWWRAP 4000 LEGPIECE REGULAR EXTRA SMALL BLACK")</f>
        <v>FARROWWRAP 4000 LEGPIECE REGULAR EXTRA SMALL BLACK</v>
      </c>
      <c r="C117" s="1" t="str">
        <f t="shared" si="12"/>
        <v>BSN MEDICAL INC</v>
      </c>
      <c r="D117" s="1" t="str">
        <f>T("76661-08")</f>
        <v>76661-08</v>
      </c>
      <c r="E117" s="1" t="str">
        <f t="shared" si="13"/>
        <v>A6545</v>
      </c>
      <c r="F117" s="1" t="str">
        <f t="shared" si="14"/>
        <v>09/28/2017</v>
      </c>
      <c r="G117" s="3"/>
      <c r="H117" s="1" t="str">
        <f t="shared" si="11"/>
        <v/>
      </c>
    </row>
    <row r="118" spans="1:8" x14ac:dyDescent="0.2">
      <c r="A118" s="1" t="s">
        <v>17</v>
      </c>
      <c r="B118" s="1" t="str">
        <f>T("FARROWWRAP 4000 LEGPIECE REGULAR SMALL BLACK")</f>
        <v>FARROWWRAP 4000 LEGPIECE REGULAR SMALL BLACK</v>
      </c>
      <c r="C118" s="1" t="str">
        <f t="shared" si="12"/>
        <v>BSN MEDICAL INC</v>
      </c>
      <c r="D118" s="1" t="str">
        <f>T("76661-09")</f>
        <v>76661-09</v>
      </c>
      <c r="E118" s="1" t="str">
        <f t="shared" si="13"/>
        <v>A6545</v>
      </c>
      <c r="F118" s="1" t="str">
        <f t="shared" si="14"/>
        <v>09/28/2017</v>
      </c>
      <c r="G118" s="3"/>
      <c r="H118" s="1" t="str">
        <f t="shared" si="11"/>
        <v/>
      </c>
    </row>
    <row r="119" spans="1:8" x14ac:dyDescent="0.2">
      <c r="A119" s="1" t="s">
        <v>17</v>
      </c>
      <c r="B119" s="1" t="str">
        <f>T("FARROWWRAP 4000 LEGPIECE REGULAR MEDIUM BLACK")</f>
        <v>FARROWWRAP 4000 LEGPIECE REGULAR MEDIUM BLACK</v>
      </c>
      <c r="C119" s="1" t="str">
        <f t="shared" si="12"/>
        <v>BSN MEDICAL INC</v>
      </c>
      <c r="D119" s="1" t="str">
        <f>T("76661-10")</f>
        <v>76661-10</v>
      </c>
      <c r="E119" s="1" t="str">
        <f t="shared" si="13"/>
        <v>A6545</v>
      </c>
      <c r="F119" s="1" t="str">
        <f t="shared" si="14"/>
        <v>09/28/2017</v>
      </c>
      <c r="G119" s="3"/>
      <c r="H119" s="1" t="str">
        <f t="shared" si="11"/>
        <v/>
      </c>
    </row>
    <row r="120" spans="1:8" x14ac:dyDescent="0.2">
      <c r="A120" s="1" t="s">
        <v>17</v>
      </c>
      <c r="B120" s="1" t="str">
        <f>T("FARROWWRAP 4000 LEGPIECE REGULAR LARGE BLACK")</f>
        <v>FARROWWRAP 4000 LEGPIECE REGULAR LARGE BLACK</v>
      </c>
      <c r="C120" s="1" t="str">
        <f t="shared" si="12"/>
        <v>BSN MEDICAL INC</v>
      </c>
      <c r="D120" s="1" t="str">
        <f>T("76661-11")</f>
        <v>76661-11</v>
      </c>
      <c r="E120" s="1" t="str">
        <f t="shared" si="13"/>
        <v>A6545</v>
      </c>
      <c r="F120" s="1" t="str">
        <f t="shared" si="14"/>
        <v>09/28/2017</v>
      </c>
      <c r="G120" s="3"/>
      <c r="H120" s="1" t="str">
        <f t="shared" si="11"/>
        <v/>
      </c>
    </row>
    <row r="121" spans="1:8" x14ac:dyDescent="0.2">
      <c r="A121" s="1" t="s">
        <v>17</v>
      </c>
      <c r="B121" s="1" t="str">
        <f>T("FARROWWRAP 4000 LEGPIECE TALL EXTRA SMALL BLACK")</f>
        <v>FARROWWRAP 4000 LEGPIECE TALL EXTRA SMALL BLACK</v>
      </c>
      <c r="C121" s="1" t="str">
        <f t="shared" si="12"/>
        <v>BSN MEDICAL INC</v>
      </c>
      <c r="D121" s="1" t="str">
        <f>T("76661-12")</f>
        <v>76661-12</v>
      </c>
      <c r="E121" s="1" t="str">
        <f t="shared" si="13"/>
        <v>A6545</v>
      </c>
      <c r="F121" s="1" t="str">
        <f t="shared" si="14"/>
        <v>09/28/2017</v>
      </c>
      <c r="G121" s="3"/>
      <c r="H121" s="1" t="str">
        <f t="shared" si="11"/>
        <v/>
      </c>
    </row>
    <row r="122" spans="1:8" x14ac:dyDescent="0.2">
      <c r="A122" s="1" t="s">
        <v>17</v>
      </c>
      <c r="B122" s="1" t="str">
        <f>T("FARROWWRAP 4000 LEGPIECE TALL SMALL BLACK")</f>
        <v>FARROWWRAP 4000 LEGPIECE TALL SMALL BLACK</v>
      </c>
      <c r="C122" s="1" t="str">
        <f t="shared" si="12"/>
        <v>BSN MEDICAL INC</v>
      </c>
      <c r="D122" s="1" t="str">
        <f>T("76661-13")</f>
        <v>76661-13</v>
      </c>
      <c r="E122" s="1" t="str">
        <f t="shared" si="13"/>
        <v>A6545</v>
      </c>
      <c r="F122" s="1" t="str">
        <f t="shared" si="14"/>
        <v>09/28/2017</v>
      </c>
      <c r="G122" s="3"/>
      <c r="H122" s="1" t="str">
        <f t="shared" si="11"/>
        <v/>
      </c>
    </row>
    <row r="123" spans="1:8" x14ac:dyDescent="0.2">
      <c r="A123" s="1" t="s">
        <v>17</v>
      </c>
      <c r="B123" s="1" t="str">
        <f>T("FARROWWRAP 4000 LEGPIECE TALL MEDIUM BLACK")</f>
        <v>FARROWWRAP 4000 LEGPIECE TALL MEDIUM BLACK</v>
      </c>
      <c r="C123" s="1" t="str">
        <f t="shared" si="12"/>
        <v>BSN MEDICAL INC</v>
      </c>
      <c r="D123" s="1" t="str">
        <f>T("76661-14")</f>
        <v>76661-14</v>
      </c>
      <c r="E123" s="1" t="str">
        <f t="shared" si="13"/>
        <v>A6545</v>
      </c>
      <c r="F123" s="1" t="str">
        <f t="shared" si="14"/>
        <v>09/28/2017</v>
      </c>
      <c r="G123" s="3"/>
      <c r="H123" s="1" t="str">
        <f t="shared" si="11"/>
        <v/>
      </c>
    </row>
    <row r="124" spans="1:8" ht="14.25" customHeight="1" x14ac:dyDescent="0.2">
      <c r="A124" s="1" t="s">
        <v>17</v>
      </c>
      <c r="B124" s="1" t="str">
        <f>T("FARROWWRAP 4000 LEGPIECE TALL LARGE BLACK")</f>
        <v>FARROWWRAP 4000 LEGPIECE TALL LARGE BLACK</v>
      </c>
      <c r="C124" s="1" t="str">
        <f t="shared" si="12"/>
        <v>BSN MEDICAL INC</v>
      </c>
      <c r="D124" s="1" t="str">
        <f>T("76661-15")</f>
        <v>76661-15</v>
      </c>
      <c r="E124" s="1" t="str">
        <f t="shared" si="13"/>
        <v>A6545</v>
      </c>
      <c r="F124" s="1" t="str">
        <f t="shared" si="14"/>
        <v>09/28/2017</v>
      </c>
      <c r="G124" s="3"/>
      <c r="H124" s="1" t="str">
        <f t="shared" si="11"/>
        <v/>
      </c>
    </row>
    <row r="125" spans="1:8" ht="14.25" customHeight="1" x14ac:dyDescent="0.2">
      <c r="A125" s="1" t="s">
        <v>17</v>
      </c>
      <c r="B125" s="1" t="str">
        <f>T("DYNAMO VERSA")</f>
        <v>DYNAMO VERSA</v>
      </c>
      <c r="C125" s="1" t="str">
        <f>T("DYNAMD")</f>
        <v>DYNAMD</v>
      </c>
      <c r="D125" s="1" t="str">
        <f>T("DMV1-001")</f>
        <v>DMV1-001</v>
      </c>
      <c r="E125" s="1" t="str">
        <f>T("A9270")</f>
        <v>A9270</v>
      </c>
      <c r="F125" s="1" t="str">
        <f>T("09/05/2017")</f>
        <v>09/05/2017</v>
      </c>
      <c r="G125" s="3"/>
      <c r="H125" s="1" t="str">
        <f t="shared" si="11"/>
        <v/>
      </c>
    </row>
    <row r="126" spans="1:8" ht="14.25" customHeight="1" x14ac:dyDescent="0.2">
      <c r="A126" s="1" t="s">
        <v>17</v>
      </c>
      <c r="B126" s="1" t="str">
        <f>T("DYNAMO SWING - LARGE")</f>
        <v>DYNAMO SWING - LARGE</v>
      </c>
      <c r="C126" s="1" t="str">
        <f>T("DYNAMD")</f>
        <v>DYNAMD</v>
      </c>
      <c r="D126" s="1" t="str">
        <f>T("DMS1-001")</f>
        <v>DMS1-001</v>
      </c>
      <c r="E126" s="1" t="str">
        <f>T("A9270")</f>
        <v>A9270</v>
      </c>
      <c r="F126" s="1" t="str">
        <f>T("09/05/2017")</f>
        <v>09/05/2017</v>
      </c>
      <c r="G126" s="3"/>
      <c r="H126" s="1" t="str">
        <f t="shared" si="11"/>
        <v/>
      </c>
    </row>
    <row r="127" spans="1:8" ht="14.25" customHeight="1" x14ac:dyDescent="0.2">
      <c r="A127" s="1" t="s">
        <v>17</v>
      </c>
      <c r="B127" s="1" t="str">
        <f>T("DYNAMO SWING - SMALL")</f>
        <v>DYNAMO SWING - SMALL</v>
      </c>
      <c r="C127" s="1" t="str">
        <f>T("DYNAMD")</f>
        <v>DYNAMD</v>
      </c>
      <c r="D127" s="1" t="str">
        <f>T("DMS1-002")</f>
        <v>DMS1-002</v>
      </c>
      <c r="E127" s="1" t="str">
        <f>T("A9270")</f>
        <v>A9270</v>
      </c>
      <c r="F127" s="1" t="str">
        <f>T("09/05/2017")</f>
        <v>09/05/2017</v>
      </c>
      <c r="G127" s="3"/>
      <c r="H127" s="1" t="str">
        <f t="shared" si="11"/>
        <v/>
      </c>
    </row>
    <row r="128" spans="1:8" x14ac:dyDescent="0.2">
      <c r="A128" s="1" t="s">
        <v>17</v>
      </c>
      <c r="B128" s="3" t="s">
        <v>106</v>
      </c>
      <c r="C128" s="3" t="s">
        <v>20</v>
      </c>
      <c r="D128" s="2" t="s">
        <v>21</v>
      </c>
      <c r="E128" s="3" t="s">
        <v>10</v>
      </c>
      <c r="F128" s="4">
        <v>42850</v>
      </c>
      <c r="G128" s="3"/>
      <c r="H128" s="3"/>
    </row>
    <row r="129" spans="1:8" x14ac:dyDescent="0.2">
      <c r="A129" s="1" t="s">
        <v>17</v>
      </c>
      <c r="B129" s="1" t="str">
        <f>T("CALYPSO PRO")</f>
        <v>CALYPSO PRO</v>
      </c>
      <c r="C129" s="1" t="str">
        <f t="shared" ref="C129:C135" si="15">T("ARDO MEDICAL AG")</f>
        <v>ARDO MEDICAL AG</v>
      </c>
      <c r="D129" s="1" t="str">
        <f>T("63.00.281")</f>
        <v>63.00.281</v>
      </c>
      <c r="E129" s="1" t="str">
        <f t="shared" ref="E129:E139" si="16">T("A9270")</f>
        <v>A9270</v>
      </c>
      <c r="F129" s="1" t="str">
        <f t="shared" ref="F129:F135" si="17">T("09/12/2017")</f>
        <v>09/12/2017</v>
      </c>
      <c r="G129" s="3"/>
      <c r="H129" s="1" t="str">
        <f t="shared" ref="H129:H140" si="18">T("")</f>
        <v/>
      </c>
    </row>
    <row r="130" spans="1:8" x14ac:dyDescent="0.2">
      <c r="A130" s="1" t="s">
        <v>17</v>
      </c>
      <c r="B130" s="1" t="str">
        <f>T("CALYPSO DOUBLE PLUS")</f>
        <v>CALYPSO DOUBLE PLUS</v>
      </c>
      <c r="C130" s="1" t="str">
        <f t="shared" si="15"/>
        <v>ARDO MEDICAL AG</v>
      </c>
      <c r="D130" s="1" t="str">
        <f>T("63.00.242")</f>
        <v>63.00.242</v>
      </c>
      <c r="E130" s="1" t="str">
        <f t="shared" si="16"/>
        <v>A9270</v>
      </c>
      <c r="F130" s="1" t="str">
        <f t="shared" si="17"/>
        <v>09/12/2017</v>
      </c>
      <c r="G130" s="3"/>
      <c r="H130" s="1" t="str">
        <f t="shared" si="18"/>
        <v/>
      </c>
    </row>
    <row r="131" spans="1:8" x14ac:dyDescent="0.2">
      <c r="A131" s="1" t="s">
        <v>17</v>
      </c>
      <c r="B131" s="1" t="str">
        <f>T("AMARYLL")</f>
        <v>AMARYLL</v>
      </c>
      <c r="C131" s="1" t="str">
        <f t="shared" si="15"/>
        <v>ARDO MEDICAL AG</v>
      </c>
      <c r="D131" s="1" t="str">
        <f>T("63.00.190")</f>
        <v>63.00.190</v>
      </c>
      <c r="E131" s="1" t="str">
        <f t="shared" si="16"/>
        <v>A9270</v>
      </c>
      <c r="F131" s="1" t="str">
        <f t="shared" si="17"/>
        <v>09/12/2017</v>
      </c>
      <c r="G131" s="3"/>
      <c r="H131" s="1" t="str">
        <f t="shared" si="18"/>
        <v/>
      </c>
    </row>
    <row r="132" spans="1:8" x14ac:dyDescent="0.2">
      <c r="A132" s="1" t="s">
        <v>17</v>
      </c>
      <c r="B132" s="1" t="str">
        <f>T("AMARYLL ESSENTIALS")</f>
        <v>AMARYLL ESSENTIALS</v>
      </c>
      <c r="C132" s="1" t="str">
        <f t="shared" si="15"/>
        <v>ARDO MEDICAL AG</v>
      </c>
      <c r="D132" s="1" t="str">
        <f>T("63.00.239")</f>
        <v>63.00.239</v>
      </c>
      <c r="E132" s="1" t="str">
        <f t="shared" si="16"/>
        <v>A9270</v>
      </c>
      <c r="F132" s="1" t="str">
        <f t="shared" si="17"/>
        <v>09/12/2017</v>
      </c>
      <c r="G132" s="3"/>
      <c r="H132" s="1" t="str">
        <f t="shared" si="18"/>
        <v/>
      </c>
    </row>
    <row r="133" spans="1:8" x14ac:dyDescent="0.2">
      <c r="A133" s="1" t="s">
        <v>17</v>
      </c>
      <c r="B133" s="1" t="str">
        <f>T("CALYPSO TO GO")</f>
        <v>CALYPSO TO GO</v>
      </c>
      <c r="C133" s="1" t="str">
        <f t="shared" si="15"/>
        <v>ARDO MEDICAL AG</v>
      </c>
      <c r="D133" s="1" t="str">
        <f>T("63.00.243")</f>
        <v>63.00.243</v>
      </c>
      <c r="E133" s="1" t="str">
        <f t="shared" si="16"/>
        <v>A9270</v>
      </c>
      <c r="F133" s="1" t="str">
        <f t="shared" si="17"/>
        <v>09/12/2017</v>
      </c>
      <c r="G133" s="3"/>
      <c r="H133" s="1" t="str">
        <f t="shared" si="18"/>
        <v/>
      </c>
    </row>
    <row r="134" spans="1:8" x14ac:dyDescent="0.2">
      <c r="A134" s="1" t="s">
        <v>17</v>
      </c>
      <c r="B134" s="1" t="str">
        <f>T("CALYPSO ESSENTIALS")</f>
        <v>CALYPSO ESSENTIALS</v>
      </c>
      <c r="C134" s="1" t="str">
        <f t="shared" si="15"/>
        <v>ARDO MEDICAL AG</v>
      </c>
      <c r="D134" s="1" t="str">
        <f>T("63.00.240")</f>
        <v>63.00.240</v>
      </c>
      <c r="E134" s="1" t="str">
        <f t="shared" si="16"/>
        <v>A9270</v>
      </c>
      <c r="F134" s="1" t="str">
        <f t="shared" si="17"/>
        <v>09/12/2017</v>
      </c>
      <c r="G134" s="3"/>
      <c r="H134" s="1" t="str">
        <f t="shared" si="18"/>
        <v/>
      </c>
    </row>
    <row r="135" spans="1:8" x14ac:dyDescent="0.2">
      <c r="A135" s="1" t="s">
        <v>17</v>
      </c>
      <c r="B135" s="1" t="str">
        <f>T("CALYPSO ESSENTIALS PLUS")</f>
        <v>CALYPSO ESSENTIALS PLUS</v>
      </c>
      <c r="C135" s="1" t="str">
        <f t="shared" si="15"/>
        <v>ARDO MEDICAL AG</v>
      </c>
      <c r="D135" s="1" t="str">
        <f>T("63.00.287")</f>
        <v>63.00.287</v>
      </c>
      <c r="E135" s="1" t="str">
        <f t="shared" si="16"/>
        <v>A9270</v>
      </c>
      <c r="F135" s="1" t="str">
        <f t="shared" si="17"/>
        <v>09/12/2017</v>
      </c>
      <c r="G135" s="3"/>
      <c r="H135" s="1" t="str">
        <f t="shared" si="18"/>
        <v/>
      </c>
    </row>
    <row r="136" spans="1:8" x14ac:dyDescent="0.2">
      <c r="A136" s="1" t="s">
        <v>17</v>
      </c>
      <c r="B136" s="1" t="str">
        <f>T("3D TRI DENSITY DIABETIC")</f>
        <v>3D TRI DENSITY DIABETIC</v>
      </c>
      <c r="C136" s="1" t="str">
        <f>T("FOOTMAXX OF VIRGINIA INC")</f>
        <v>FOOTMAXX OF VIRGINIA INC</v>
      </c>
      <c r="D136" s="1" t="str">
        <f>T("9970")</f>
        <v>9970</v>
      </c>
      <c r="E136" s="1" t="str">
        <f t="shared" si="16"/>
        <v>A9270</v>
      </c>
      <c r="F136" s="1" t="str">
        <f>T("09/22/2017")</f>
        <v>09/22/2017</v>
      </c>
      <c r="G136" s="3"/>
      <c r="H136" s="1" t="str">
        <f t="shared" si="18"/>
        <v/>
      </c>
    </row>
    <row r="137" spans="1:8" x14ac:dyDescent="0.2">
      <c r="A137" s="1" t="s">
        <v>17</v>
      </c>
      <c r="B137" s="1" t="str">
        <f>T("3D DUAL DENSITY DIABETIC")</f>
        <v>3D DUAL DENSITY DIABETIC</v>
      </c>
      <c r="C137" s="1" t="str">
        <f>T("FOOTMAXX OF VIRGINIA INC")</f>
        <v>FOOTMAXX OF VIRGINIA INC</v>
      </c>
      <c r="D137" s="1" t="str">
        <f>T("9971")</f>
        <v>9971</v>
      </c>
      <c r="E137" s="1" t="str">
        <f t="shared" si="16"/>
        <v>A9270</v>
      </c>
      <c r="F137" s="1" t="str">
        <f>T("09/22/2017")</f>
        <v>09/22/2017</v>
      </c>
      <c r="G137" s="3"/>
      <c r="H137" s="1" t="str">
        <f t="shared" si="18"/>
        <v/>
      </c>
    </row>
    <row r="138" spans="1:8" x14ac:dyDescent="0.2">
      <c r="A138" s="1" t="s">
        <v>17</v>
      </c>
      <c r="B138" s="1" t="str">
        <f>T("3D TRI DENSITY DIABETIC 3PK")</f>
        <v>3D TRI DENSITY DIABETIC 3PK</v>
      </c>
      <c r="C138" s="1" t="str">
        <f>T("FOOTMAXX OF VIRGINIA INC")</f>
        <v>FOOTMAXX OF VIRGINIA INC</v>
      </c>
      <c r="D138" s="1" t="str">
        <f>T("9972")</f>
        <v>9972</v>
      </c>
      <c r="E138" s="1" t="str">
        <f t="shared" si="16"/>
        <v>A9270</v>
      </c>
      <c r="F138" s="1" t="str">
        <f>T("09/22/2017")</f>
        <v>09/22/2017</v>
      </c>
      <c r="G138" s="3"/>
      <c r="H138" s="1" t="str">
        <f t="shared" si="18"/>
        <v/>
      </c>
    </row>
    <row r="139" spans="1:8" x14ac:dyDescent="0.2">
      <c r="A139" s="1" t="s">
        <v>17</v>
      </c>
      <c r="B139" s="1" t="str">
        <f>T("3D DUAL DENSITY DIABETIC 3PK")</f>
        <v>3D DUAL DENSITY DIABETIC 3PK</v>
      </c>
      <c r="C139" s="1" t="str">
        <f>T("FOOTMAXX OF VIRGINIA INC")</f>
        <v>FOOTMAXX OF VIRGINIA INC</v>
      </c>
      <c r="D139" s="1" t="str">
        <f>T("9973")</f>
        <v>9973</v>
      </c>
      <c r="E139" s="1" t="str">
        <f t="shared" si="16"/>
        <v>A9270</v>
      </c>
      <c r="F139" s="1" t="str">
        <f>T("09/22/2017")</f>
        <v>09/22/2017</v>
      </c>
      <c r="G139" s="3"/>
      <c r="H139" s="1" t="str">
        <f t="shared" si="18"/>
        <v/>
      </c>
    </row>
    <row r="140" spans="1:8" x14ac:dyDescent="0.2">
      <c r="A140" s="1" t="s">
        <v>17</v>
      </c>
      <c r="B140" s="1" t="s">
        <v>118</v>
      </c>
      <c r="C140" s="1" t="s">
        <v>59</v>
      </c>
      <c r="D140" s="1" t="s">
        <v>60</v>
      </c>
      <c r="E140" s="1" t="s">
        <v>10</v>
      </c>
      <c r="F140" s="1" t="s">
        <v>26</v>
      </c>
      <c r="G140" s="3"/>
      <c r="H140" s="1" t="str">
        <f t="shared" si="18"/>
        <v/>
      </c>
    </row>
    <row r="141" spans="1:8" x14ac:dyDescent="0.2">
      <c r="A141" s="1" t="s">
        <v>17</v>
      </c>
      <c r="B141" s="1" t="s">
        <v>119</v>
      </c>
      <c r="C141" s="1" t="s">
        <v>59</v>
      </c>
      <c r="D141" s="1" t="s">
        <v>61</v>
      </c>
      <c r="E141" s="1" t="s">
        <v>10</v>
      </c>
      <c r="F141" s="1" t="s">
        <v>26</v>
      </c>
      <c r="G141" s="3"/>
      <c r="H141" s="1"/>
    </row>
    <row r="142" spans="1:8" x14ac:dyDescent="0.2">
      <c r="A142" s="1" t="s">
        <v>17</v>
      </c>
      <c r="B142" s="1" t="str">
        <f>T("SPINOVA OSTEO")</f>
        <v>SPINOVA OSTEO</v>
      </c>
      <c r="C142" s="1" t="str">
        <f>T("BAUERFEIND USA INC")</f>
        <v>BAUERFEIND USA INC</v>
      </c>
      <c r="D142" s="1" t="str">
        <f>T("12285680000012")</f>
        <v>12285680000012</v>
      </c>
      <c r="E142" s="1" t="str">
        <f t="shared" ref="E142:E148" si="19">T("A9270")</f>
        <v>A9270</v>
      </c>
      <c r="F142" s="1" t="str">
        <f t="shared" ref="F142:F148" si="20">T("09/27/2017")</f>
        <v>09/27/2017</v>
      </c>
      <c r="G142" s="3"/>
      <c r="H142" s="1" t="str">
        <f t="shared" ref="H142:H148" si="21">T("")</f>
        <v/>
      </c>
    </row>
    <row r="143" spans="1:8" x14ac:dyDescent="0.2">
      <c r="A143" s="1" t="s">
        <v>17</v>
      </c>
      <c r="B143" s="1" t="str">
        <f>T("SPINOVA OSTEO")</f>
        <v>SPINOVA OSTEO</v>
      </c>
      <c r="C143" s="1" t="str">
        <f>T("BAUERFEIND USA INC")</f>
        <v>BAUERFEIND USA INC</v>
      </c>
      <c r="D143" s="1" t="str">
        <f>T("12285680000013")</f>
        <v>12285680000013</v>
      </c>
      <c r="E143" s="1" t="str">
        <f t="shared" si="19"/>
        <v>A9270</v>
      </c>
      <c r="F143" s="1" t="str">
        <f t="shared" si="20"/>
        <v>09/27/2017</v>
      </c>
      <c r="G143" s="3"/>
      <c r="H143" s="1" t="str">
        <f t="shared" si="21"/>
        <v/>
      </c>
    </row>
    <row r="144" spans="1:8" x14ac:dyDescent="0.2">
      <c r="A144" s="1" t="s">
        <v>17</v>
      </c>
      <c r="B144" s="1" t="str">
        <f>T("SPINOVA OSTEO")</f>
        <v>SPINOVA OSTEO</v>
      </c>
      <c r="C144" s="1" t="str">
        <f>T("BAUERFEIND USA INC")</f>
        <v>BAUERFEIND USA INC</v>
      </c>
      <c r="D144" s="1" t="str">
        <f>T("12285680000023")</f>
        <v>12285680000023</v>
      </c>
      <c r="E144" s="1" t="str">
        <f t="shared" si="19"/>
        <v>A9270</v>
      </c>
      <c r="F144" s="1" t="str">
        <f t="shared" si="20"/>
        <v>09/27/2017</v>
      </c>
      <c r="G144" s="3"/>
      <c r="H144" s="1" t="str">
        <f t="shared" si="21"/>
        <v/>
      </c>
    </row>
    <row r="145" spans="1:8" x14ac:dyDescent="0.2">
      <c r="A145" s="1" t="s">
        <v>17</v>
      </c>
      <c r="B145" s="1" t="str">
        <f>T("SPINOVA OSTEO")</f>
        <v>SPINOVA OSTEO</v>
      </c>
      <c r="C145" s="1" t="str">
        <f>T("BAUERFEIND USA INC")</f>
        <v>BAUERFEIND USA INC</v>
      </c>
      <c r="D145" s="1" t="str">
        <f>T("12285680000024")</f>
        <v>12285680000024</v>
      </c>
      <c r="E145" s="1" t="str">
        <f t="shared" si="19"/>
        <v>A9270</v>
      </c>
      <c r="F145" s="1" t="str">
        <f t="shared" si="20"/>
        <v>09/27/2017</v>
      </c>
      <c r="G145" s="3"/>
      <c r="H145" s="1" t="str">
        <f t="shared" si="21"/>
        <v/>
      </c>
    </row>
    <row r="146" spans="1:8" x14ac:dyDescent="0.2">
      <c r="A146" s="1" t="s">
        <v>17</v>
      </c>
      <c r="B146" s="1" t="str">
        <f>T("SPINOVA OSTEO")</f>
        <v>SPINOVA OSTEO</v>
      </c>
      <c r="C146" s="1" t="str">
        <f>T("BAUERFEIND USA INC")</f>
        <v>BAUERFEIND USA INC</v>
      </c>
      <c r="D146" s="1" t="str">
        <f>T("12285680000034")</f>
        <v>12285680000034</v>
      </c>
      <c r="E146" s="1" t="str">
        <f t="shared" si="19"/>
        <v>A9270</v>
      </c>
      <c r="F146" s="1" t="str">
        <f t="shared" si="20"/>
        <v>09/27/2017</v>
      </c>
      <c r="G146" s="3"/>
      <c r="H146" s="1" t="str">
        <f t="shared" si="21"/>
        <v/>
      </c>
    </row>
    <row r="147" spans="1:8" x14ac:dyDescent="0.2">
      <c r="A147" s="1" t="s">
        <v>17</v>
      </c>
      <c r="B147" s="1" t="str">
        <f>T("3301-1L")</f>
        <v>3301-1L</v>
      </c>
      <c r="C147" s="1" t="str">
        <f>T("APIS FOOTWEAR COMPANY")</f>
        <v>APIS FOOTWEAR COMPANY</v>
      </c>
      <c r="D147" s="1" t="str">
        <f>T("3301-1L")</f>
        <v>3301-1L</v>
      </c>
      <c r="E147" s="1" t="str">
        <f t="shared" si="19"/>
        <v>A9270</v>
      </c>
      <c r="F147" s="1" t="str">
        <f t="shared" si="20"/>
        <v>09/27/2017</v>
      </c>
      <c r="G147" s="3"/>
      <c r="H147" s="1" t="str">
        <f t="shared" si="21"/>
        <v/>
      </c>
    </row>
    <row r="148" spans="1:8" x14ac:dyDescent="0.2">
      <c r="A148" s="1" t="s">
        <v>17</v>
      </c>
      <c r="B148" s="1" t="str">
        <f>T("3301-3L")</f>
        <v>3301-3L</v>
      </c>
      <c r="C148" s="1" t="str">
        <f>T("APIS FOOTWEAR COMPANY")</f>
        <v>APIS FOOTWEAR COMPANY</v>
      </c>
      <c r="D148" s="1" t="str">
        <f>T("3301-3L")</f>
        <v>3301-3L</v>
      </c>
      <c r="E148" s="1" t="str">
        <f t="shared" si="19"/>
        <v>A9270</v>
      </c>
      <c r="F148" s="1" t="str">
        <f t="shared" si="20"/>
        <v>09/27/2017</v>
      </c>
      <c r="G148" s="3"/>
      <c r="H148" s="1" t="str">
        <f t="shared" si="21"/>
        <v/>
      </c>
    </row>
    <row r="149" spans="1:8" x14ac:dyDescent="0.2">
      <c r="A149" s="1" t="s">
        <v>18</v>
      </c>
      <c r="B149" s="3" t="s">
        <v>123</v>
      </c>
      <c r="C149" s="3" t="s">
        <v>70</v>
      </c>
      <c r="D149" s="2" t="s">
        <v>71</v>
      </c>
      <c r="E149" s="3" t="s">
        <v>10</v>
      </c>
      <c r="F149" s="4">
        <v>42872</v>
      </c>
      <c r="G149" s="4">
        <v>42978</v>
      </c>
      <c r="H149" s="3"/>
    </row>
    <row r="150" spans="1:8" x14ac:dyDescent="0.2">
      <c r="A150" s="1" t="s">
        <v>18</v>
      </c>
      <c r="B150" s="3" t="s">
        <v>124</v>
      </c>
      <c r="C150" s="3" t="s">
        <v>70</v>
      </c>
      <c r="D150" s="2" t="s">
        <v>72</v>
      </c>
      <c r="E150" s="3" t="s">
        <v>10</v>
      </c>
      <c r="F150" s="4">
        <v>42872</v>
      </c>
      <c r="G150" s="4">
        <v>42978</v>
      </c>
      <c r="H150" s="3"/>
    </row>
    <row r="151" spans="1:8" x14ac:dyDescent="0.2">
      <c r="A151" s="1" t="s">
        <v>18</v>
      </c>
      <c r="B151" s="3" t="s">
        <v>125</v>
      </c>
      <c r="C151" s="3" t="s">
        <v>70</v>
      </c>
      <c r="D151" s="2" t="s">
        <v>73</v>
      </c>
      <c r="E151" s="3" t="s">
        <v>10</v>
      </c>
      <c r="F151" s="4">
        <v>42872</v>
      </c>
      <c r="G151" s="4">
        <v>42978</v>
      </c>
      <c r="H151" s="3"/>
    </row>
    <row r="152" spans="1:8" x14ac:dyDescent="0.2">
      <c r="A152" s="1" t="s">
        <v>18</v>
      </c>
      <c r="B152" s="3" t="s">
        <v>126</v>
      </c>
      <c r="C152" s="3" t="s">
        <v>70</v>
      </c>
      <c r="D152" s="2" t="s">
        <v>74</v>
      </c>
      <c r="E152" s="3" t="s">
        <v>10</v>
      </c>
      <c r="F152" s="4">
        <v>42872</v>
      </c>
      <c r="G152" s="4">
        <v>42978</v>
      </c>
      <c r="H152" s="3"/>
    </row>
    <row r="153" spans="1:8" x14ac:dyDescent="0.2">
      <c r="A153" s="1" t="s">
        <v>18</v>
      </c>
      <c r="B153" s="3" t="s">
        <v>127</v>
      </c>
      <c r="C153" s="3" t="s">
        <v>70</v>
      </c>
      <c r="D153" s="2" t="s">
        <v>75</v>
      </c>
      <c r="E153" s="3" t="s">
        <v>10</v>
      </c>
      <c r="F153" s="4">
        <v>42872</v>
      </c>
      <c r="G153" s="4">
        <v>42978</v>
      </c>
      <c r="H153" s="3"/>
    </row>
    <row r="154" spans="1:8" x14ac:dyDescent="0.2">
      <c r="A154" s="1" t="s">
        <v>18</v>
      </c>
      <c r="B154" s="3" t="s">
        <v>128</v>
      </c>
      <c r="C154" s="3" t="s">
        <v>70</v>
      </c>
      <c r="D154" s="2" t="s">
        <v>76</v>
      </c>
      <c r="E154" s="3" t="s">
        <v>10</v>
      </c>
      <c r="F154" s="4">
        <v>42872</v>
      </c>
      <c r="G154" s="4">
        <v>42978</v>
      </c>
      <c r="H154" s="3"/>
    </row>
    <row r="155" spans="1:8" x14ac:dyDescent="0.2">
      <c r="A155" s="1" t="s">
        <v>18</v>
      </c>
      <c r="B155" s="3" t="s">
        <v>106</v>
      </c>
      <c r="C155" s="3" t="s">
        <v>84</v>
      </c>
      <c r="D155" s="2" t="s">
        <v>21</v>
      </c>
      <c r="E155" s="3" t="s">
        <v>10</v>
      </c>
      <c r="F155" s="4">
        <v>42046</v>
      </c>
      <c r="G155" s="4">
        <v>42849</v>
      </c>
      <c r="H155" s="3"/>
    </row>
    <row r="156" spans="1:8" x14ac:dyDescent="0.2">
      <c r="A156" s="1" t="s">
        <v>18</v>
      </c>
      <c r="B156" s="3" t="s">
        <v>132</v>
      </c>
      <c r="C156" s="3" t="s">
        <v>85</v>
      </c>
      <c r="D156" s="2" t="s">
        <v>86</v>
      </c>
      <c r="E156" s="3" t="s">
        <v>10</v>
      </c>
      <c r="F156" s="4">
        <v>42921</v>
      </c>
      <c r="G156" s="4">
        <v>42990</v>
      </c>
      <c r="H156" s="3"/>
    </row>
    <row r="157" spans="1:8" x14ac:dyDescent="0.2">
      <c r="A157" s="1" t="s">
        <v>17</v>
      </c>
      <c r="B157" s="1" t="str">
        <f>T("3B OXYGEN TUBING CONNECTOR")</f>
        <v>3B OXYGEN TUBING CONNECTOR</v>
      </c>
      <c r="C157" s="1" t="str">
        <f>T("3B MEDICAL INC")</f>
        <v>3B MEDICAL INC</v>
      </c>
      <c r="D157" s="1" t="str">
        <f>T("O2C2030")</f>
        <v>O2C2030</v>
      </c>
      <c r="E157" s="1" t="str">
        <f>T("A9999")</f>
        <v>A9999</v>
      </c>
      <c r="F157" s="1" t="str">
        <f>T("09/29/2017")</f>
        <v>09/29/2017</v>
      </c>
      <c r="G157" s="3"/>
      <c r="H157" s="1" t="str">
        <f>T("")</f>
        <v/>
      </c>
    </row>
    <row r="158" spans="1:8" ht="25.5" x14ac:dyDescent="0.2">
      <c r="A158" s="1" t="s">
        <v>17</v>
      </c>
      <c r="B158" s="1" t="str">
        <f>T("H2ORS - ORAL REHYDRATION SOLUTION")</f>
        <v>H2ORS - ORAL REHYDRATION SOLUTION</v>
      </c>
      <c r="C158" s="1" t="str">
        <f>T("H2ORS INC")</f>
        <v>H2ORS INC</v>
      </c>
      <c r="D158" s="1" t="str">
        <f>T("4-COUNT BOX CITRUS")</f>
        <v>4-COUNT BOX CITRUS</v>
      </c>
      <c r="E158" s="1" t="str">
        <f>T("B4102 OR B4103")</f>
        <v>B4102 OR B4103</v>
      </c>
      <c r="F158" s="1" t="str">
        <f>T("09/13/2017")</f>
        <v>09/13/2017</v>
      </c>
      <c r="G158" s="3"/>
      <c r="H158" s="1" t="str">
        <f>T("ADD THE BO MODIFIER TO THE HCPCS CODE IF THE ENTERAL NUTRITION IS BEING ADMINISTERED ORALLY AND IS NOT BEING ADMINISTERED BY A FEEDING TUBE.")</f>
        <v>ADD THE BO MODIFIER TO THE HCPCS CODE IF THE ENTERAL NUTRITION IS BEING ADMINISTERED ORALLY AND IS NOT BEING ADMINISTERED BY A FEEDING TUBE.</v>
      </c>
    </row>
    <row r="159" spans="1:8" ht="25.5" x14ac:dyDescent="0.2">
      <c r="A159" s="1" t="s">
        <v>17</v>
      </c>
      <c r="B159" s="1" t="str">
        <f>T("H2ORS - ORAL REHYDRATION SOLUTION")</f>
        <v>H2ORS - ORAL REHYDRATION SOLUTION</v>
      </c>
      <c r="C159" s="1" t="str">
        <f>T("H2ORS INC")</f>
        <v>H2ORS INC</v>
      </c>
      <c r="D159" s="1" t="str">
        <f>T("24-COUNT BOX CITRUS")</f>
        <v>24-COUNT BOX CITRUS</v>
      </c>
      <c r="E159" s="1" t="str">
        <f>T("B4102 OR B4103")</f>
        <v>B4102 OR B4103</v>
      </c>
      <c r="F159" s="1" t="str">
        <f>T("09/13/2017")</f>
        <v>09/13/2017</v>
      </c>
      <c r="G159" s="3"/>
      <c r="H159" s="1" t="str">
        <f>T("ADD THE BO MODIFIER TO THE HCPCS CODE IF THE ENTERAL NUTRITION IS BEING ADMINISTERED ORALLY AND IS NOT BEING ADMINISTERED BY A FEEDING TUBE.")</f>
        <v>ADD THE BO MODIFIER TO THE HCPCS CODE IF THE ENTERAL NUTRITION IS BEING ADMINISTERED ORALLY AND IS NOT BEING ADMINISTERED BY A FEEDING TUBE.</v>
      </c>
    </row>
    <row r="160" spans="1:8" ht="25.5" x14ac:dyDescent="0.2">
      <c r="A160" s="1" t="s">
        <v>17</v>
      </c>
      <c r="B160" s="1" t="str">
        <f>T("H2ORS - ORAL REHYDRATION SOLUTION")</f>
        <v>H2ORS - ORAL REHYDRATION SOLUTION</v>
      </c>
      <c r="C160" s="1" t="str">
        <f>T("H2ORS INC")</f>
        <v>H2ORS INC</v>
      </c>
      <c r="D160" s="1" t="str">
        <f>T("50-COUNT BOX CITRUS")</f>
        <v>50-COUNT BOX CITRUS</v>
      </c>
      <c r="E160" s="1" t="str">
        <f>T("B4102 OR B4103")</f>
        <v>B4102 OR B4103</v>
      </c>
      <c r="F160" s="1" t="str">
        <f>T("09/13/2017")</f>
        <v>09/13/2017</v>
      </c>
      <c r="G160" s="3"/>
      <c r="H160" s="1" t="str">
        <f>T("ADD THE BO MODIFIER TO THE HCPCS CODE IF THE ENTERAL NUTRITION IS BEING ADMINISTERED ORALLY AND IS NOT BEING ADMINISTERED BY A FEEDING TUBE.")</f>
        <v>ADD THE BO MODIFIER TO THE HCPCS CODE IF THE ENTERAL NUTRITION IS BEING ADMINISTERED ORALLY AND IS NOT BEING ADMINISTERED BY A FEEDING TUBE.</v>
      </c>
    </row>
    <row r="161" spans="1:8" x14ac:dyDescent="0.2">
      <c r="A161" s="1" t="s">
        <v>17</v>
      </c>
      <c r="B161" s="1" t="str">
        <f>T("ENFAMIL ENFALYTE CHERRY SPLASH")</f>
        <v>ENFAMIL ENFALYTE CHERRY SPLASH</v>
      </c>
      <c r="C161" s="1" t="str">
        <f>T("MEAD JOHNSON &amp; COMPANY LLC")</f>
        <v>MEAD JOHNSON &amp; COMPANY LLC</v>
      </c>
      <c r="D161" s="1" t="str">
        <f>T("300875118313")</f>
        <v>300875118313</v>
      </c>
      <c r="E161" s="1" t="str">
        <f>T("B4103")</f>
        <v>B4103</v>
      </c>
      <c r="F161" s="1" t="str">
        <f>T("09/11/2017")</f>
        <v>09/11/2017</v>
      </c>
      <c r="G161" s="3"/>
      <c r="H161" s="1" t="str">
        <f>T("")</f>
        <v/>
      </c>
    </row>
    <row r="162" spans="1:8" x14ac:dyDescent="0.2">
      <c r="A162" s="1" t="s">
        <v>17</v>
      </c>
      <c r="B162" s="1" t="str">
        <f>T("ENFAMIL ENFALYTE MIXED FRUIT")</f>
        <v>ENFAMIL ENFALYTE MIXED FRUIT</v>
      </c>
      <c r="C162" s="1" t="str">
        <f>T("MEAD JOHNSON &amp; COMPANY LLC")</f>
        <v>MEAD JOHNSON &amp; COMPANY LLC</v>
      </c>
      <c r="D162" s="1" t="str">
        <f>T("300875118337")</f>
        <v>300875118337</v>
      </c>
      <c r="E162" s="1" t="str">
        <f>T("B4103")</f>
        <v>B4103</v>
      </c>
      <c r="F162" s="1" t="str">
        <f>T("09/11/2017")</f>
        <v>09/11/2017</v>
      </c>
      <c r="G162" s="3"/>
      <c r="H162" s="1" t="str">
        <f>T("")</f>
        <v/>
      </c>
    </row>
    <row r="163" spans="1:8" ht="25.5" x14ac:dyDescent="0.2">
      <c r="A163" s="1" t="s">
        <v>17</v>
      </c>
      <c r="B163" s="1" t="str">
        <f>T("BETAQUIK")</f>
        <v>BETAQUIK</v>
      </c>
      <c r="C163" s="1" t="str">
        <f>T("VITAFLO USA LLC")</f>
        <v>VITAFLO USA LLC</v>
      </c>
      <c r="D163" s="1" t="str">
        <f>T("21629")</f>
        <v>21629</v>
      </c>
      <c r="E163" s="1" t="str">
        <f>T("B4155")</f>
        <v>B4155</v>
      </c>
      <c r="F163" s="1" t="str">
        <f>T("09/01/2017")</f>
        <v>09/01/2017</v>
      </c>
      <c r="G163" s="3"/>
      <c r="H163" s="1" t="str">
        <f>T("ADD THE BO MODIFIER TO THE HCPCS CODE IF THE ENTERAL NUTRITION IS BEING ADMINISTERED ORALLY AND IS NOT BEING ADMINISTERED BY A FEEDING TUBE")</f>
        <v>ADD THE BO MODIFIER TO THE HCPCS CODE IF THE ENTERAL NUTRITION IS BEING ADMINISTERED ORALLY AND IS NOT BEING ADMINISTERED BY A FEEDING TUBE</v>
      </c>
    </row>
    <row r="164" spans="1:8" ht="25.5" x14ac:dyDescent="0.2">
      <c r="A164" s="1" t="s">
        <v>17</v>
      </c>
      <c r="B164" s="1" t="str">
        <f>T("CARBZERO")</f>
        <v>CARBZERO</v>
      </c>
      <c r="C164" s="1" t="str">
        <f>T("VITAFLO USA LLC")</f>
        <v>VITAFLO USA LLC</v>
      </c>
      <c r="D164" s="1" t="str">
        <f>T("21643")</f>
        <v>21643</v>
      </c>
      <c r="E164" s="1" t="str">
        <f>T("B4155")</f>
        <v>B4155</v>
      </c>
      <c r="F164" s="1" t="str">
        <f>T("09/01/2017")</f>
        <v>09/01/2017</v>
      </c>
      <c r="G164" s="3"/>
      <c r="H164" s="1" t="str">
        <f>T("ADD THE BO MODIFIER TO THE HCPCS CODE IF THE ENTERAL NUTRITION IS BEING ADMINISTERED ORALLY AND IS NOT BEING ADMINISTERED BY A FEEDING TUBE")</f>
        <v>ADD THE BO MODIFIER TO THE HCPCS CODE IF THE ENTERAL NUTRITION IS BEING ADMINISTERED ORALLY AND IS NOT BEING ADMINISTERED BY A FEEDING TUBE</v>
      </c>
    </row>
    <row r="165" spans="1:8" x14ac:dyDescent="0.2">
      <c r="A165" s="1" t="s">
        <v>17</v>
      </c>
      <c r="B165" s="1" t="str">
        <f>T("GUARDIAN ROLLATOR")</f>
        <v>GUARDIAN ROLLATOR</v>
      </c>
      <c r="C165" s="1" t="str">
        <f>T("DMEDICUS LLC")</f>
        <v>DMEDICUS LLC</v>
      </c>
      <c r="D165" s="1" t="str">
        <f>T("G07887B")</f>
        <v>G07887B</v>
      </c>
      <c r="E165" s="1" t="str">
        <f>T("E0143+E0156")</f>
        <v>E0143+E0156</v>
      </c>
      <c r="F165" s="1" t="str">
        <f>T("09/18/2017")</f>
        <v>09/18/2017</v>
      </c>
      <c r="G165" s="3"/>
      <c r="H165" s="1" t="str">
        <f>T("")</f>
        <v/>
      </c>
    </row>
    <row r="166" spans="1:8" x14ac:dyDescent="0.2">
      <c r="A166" s="1" t="s">
        <v>17</v>
      </c>
      <c r="B166" s="1" t="str">
        <f>T("COOLCAST SHORT ARM")</f>
        <v>COOLCAST SHORT ARM</v>
      </c>
      <c r="C166" s="1" t="str">
        <f t="shared" ref="C166:C171" si="22">T("ADVANCED HEALING MEDICAL DEVICES")</f>
        <v>ADVANCED HEALING MEDICAL DEVICES</v>
      </c>
      <c r="D166" s="1" t="str">
        <f>T("CTSA")</f>
        <v>CTSA</v>
      </c>
      <c r="E166" s="1" t="str">
        <f t="shared" ref="E166:E171" si="23">T("E0217 OR E0218")</f>
        <v>E0217 OR E0218</v>
      </c>
      <c r="F166" s="1" t="str">
        <f t="shared" ref="F166:F171" si="24">T("09/01/2017")</f>
        <v>09/01/2017</v>
      </c>
      <c r="G166" s="3"/>
      <c r="H166" s="1" t="str">
        <f t="shared" ref="H166:H171" si="25">T("USE E0217 WHEN USED AS HEAT THERAPY. USE E0218 WHEN USED AS COLD THERAPY.")</f>
        <v>USE E0217 WHEN USED AS HEAT THERAPY. USE E0218 WHEN USED AS COLD THERAPY.</v>
      </c>
    </row>
    <row r="167" spans="1:8" x14ac:dyDescent="0.2">
      <c r="A167" s="1" t="s">
        <v>17</v>
      </c>
      <c r="B167" s="1" t="str">
        <f>T("COOLCAST LONG ARM")</f>
        <v>COOLCAST LONG ARM</v>
      </c>
      <c r="C167" s="1" t="str">
        <f t="shared" si="22"/>
        <v>ADVANCED HEALING MEDICAL DEVICES</v>
      </c>
      <c r="D167" s="1" t="str">
        <f>T("CTLA")</f>
        <v>CTLA</v>
      </c>
      <c r="E167" s="1" t="str">
        <f t="shared" si="23"/>
        <v>E0217 OR E0218</v>
      </c>
      <c r="F167" s="1" t="str">
        <f t="shared" si="24"/>
        <v>09/01/2017</v>
      </c>
      <c r="G167" s="3"/>
      <c r="H167" s="1" t="str">
        <f t="shared" si="25"/>
        <v>USE E0217 WHEN USED AS HEAT THERAPY. USE E0218 WHEN USED AS COLD THERAPY.</v>
      </c>
    </row>
    <row r="168" spans="1:8" x14ac:dyDescent="0.2">
      <c r="A168" s="1" t="s">
        <v>17</v>
      </c>
      <c r="B168" s="1" t="str">
        <f>T("COOLCAST SHORT LEG")</f>
        <v>COOLCAST SHORT LEG</v>
      </c>
      <c r="C168" s="1" t="str">
        <f t="shared" si="22"/>
        <v>ADVANCED HEALING MEDICAL DEVICES</v>
      </c>
      <c r="D168" s="1" t="str">
        <f>T("CTSL")</f>
        <v>CTSL</v>
      </c>
      <c r="E168" s="1" t="str">
        <f t="shared" si="23"/>
        <v>E0217 OR E0218</v>
      </c>
      <c r="F168" s="1" t="str">
        <f t="shared" si="24"/>
        <v>09/01/2017</v>
      </c>
      <c r="G168" s="3"/>
      <c r="H168" s="1" t="str">
        <f t="shared" si="25"/>
        <v>USE E0217 WHEN USED AS HEAT THERAPY. USE E0218 WHEN USED AS COLD THERAPY.</v>
      </c>
    </row>
    <row r="169" spans="1:8" x14ac:dyDescent="0.2">
      <c r="A169" s="1" t="s">
        <v>17</v>
      </c>
      <c r="B169" s="1" t="str">
        <f>T("COOLCAST LONG LEG")</f>
        <v>COOLCAST LONG LEG</v>
      </c>
      <c r="C169" s="1" t="str">
        <f t="shared" si="22"/>
        <v>ADVANCED HEALING MEDICAL DEVICES</v>
      </c>
      <c r="D169" s="1" t="str">
        <f>T("CTLL")</f>
        <v>CTLL</v>
      </c>
      <c r="E169" s="1" t="str">
        <f t="shared" si="23"/>
        <v>E0217 OR E0218</v>
      </c>
      <c r="F169" s="1" t="str">
        <f t="shared" si="24"/>
        <v>09/01/2017</v>
      </c>
      <c r="G169" s="3"/>
      <c r="H169" s="1" t="str">
        <f t="shared" si="25"/>
        <v>USE E0217 WHEN USED AS HEAT THERAPY. USE E0218 WHEN USED AS COLD THERAPY.</v>
      </c>
    </row>
    <row r="170" spans="1:8" x14ac:dyDescent="0.2">
      <c r="A170" s="1" t="s">
        <v>17</v>
      </c>
      <c r="B170" s="1" t="str">
        <f>T("COOLCAST SHORT ARM-THUMB SPIKE")</f>
        <v>COOLCAST SHORT ARM-THUMB SPIKE</v>
      </c>
      <c r="C170" s="1" t="str">
        <f t="shared" si="22"/>
        <v>ADVANCED HEALING MEDICAL DEVICES</v>
      </c>
      <c r="D170" s="1" t="str">
        <f>T("CTSA-TS")</f>
        <v>CTSA-TS</v>
      </c>
      <c r="E170" s="1" t="str">
        <f t="shared" si="23"/>
        <v>E0217 OR E0218</v>
      </c>
      <c r="F170" s="1" t="str">
        <f t="shared" si="24"/>
        <v>09/01/2017</v>
      </c>
      <c r="G170" s="3"/>
      <c r="H170" s="1" t="str">
        <f t="shared" si="25"/>
        <v>USE E0217 WHEN USED AS HEAT THERAPY. USE E0218 WHEN USED AS COLD THERAPY.</v>
      </c>
    </row>
    <row r="171" spans="1:8" x14ac:dyDescent="0.2">
      <c r="A171" s="1" t="s">
        <v>17</v>
      </c>
      <c r="B171" s="1" t="str">
        <f>T("COOLCAST LONG ARM-THUMB SPIKE")</f>
        <v>COOLCAST LONG ARM-THUMB SPIKE</v>
      </c>
      <c r="C171" s="1" t="str">
        <f t="shared" si="22"/>
        <v>ADVANCED HEALING MEDICAL DEVICES</v>
      </c>
      <c r="D171" s="1" t="str">
        <f>T("CTLA-TS")</f>
        <v>CTLA-TS</v>
      </c>
      <c r="E171" s="1" t="str">
        <f t="shared" si="23"/>
        <v>E0217 OR E0218</v>
      </c>
      <c r="F171" s="1" t="str">
        <f t="shared" si="24"/>
        <v>09/01/2017</v>
      </c>
      <c r="G171" s="3"/>
      <c r="H171" s="1" t="str">
        <f t="shared" si="25"/>
        <v>USE E0217 WHEN USED AS HEAT THERAPY. USE E0218 WHEN USED AS COLD THERAPY.</v>
      </c>
    </row>
    <row r="172" spans="1:8" x14ac:dyDescent="0.2">
      <c r="A172" s="1" t="s">
        <v>17</v>
      </c>
      <c r="B172" s="1" t="str">
        <f>T("BALANCED AIRE COMPETITOR MATTRESS - 35"" W X 80"" L X 6.5"" H")</f>
        <v>BALANCED AIRE COMPETITOR MATTRESS - 35" W X 80" L X 6.5" H</v>
      </c>
      <c r="C172" s="1" t="str">
        <f>T("DRIVE MEDICAL")</f>
        <v>DRIVE MEDICAL</v>
      </c>
      <c r="D172" s="1" t="str">
        <f>T("BA9600-NPCM")</f>
        <v>BA9600-NPCM</v>
      </c>
      <c r="E172" s="1" t="str">
        <f>T("E0373")</f>
        <v>E0373</v>
      </c>
      <c r="F172" s="1" t="str">
        <f>T("09/07/2017")</f>
        <v>09/07/2017</v>
      </c>
      <c r="G172" s="3"/>
      <c r="H172" s="1" t="str">
        <f>T("")</f>
        <v/>
      </c>
    </row>
    <row r="173" spans="1:8" x14ac:dyDescent="0.2">
      <c r="A173" s="1" t="s">
        <v>17</v>
      </c>
      <c r="B173" s="1" t="str">
        <f>T("CARUM")</f>
        <v>CARUM</v>
      </c>
      <c r="C173" s="1" t="str">
        <f>T("ARDO MEDICAL AG")</f>
        <v>ARDO MEDICAL AG</v>
      </c>
      <c r="D173" s="1" t="str">
        <f>T("63.00.73")</f>
        <v>63.00.73</v>
      </c>
      <c r="E173" s="1" t="str">
        <f>T("E0604")</f>
        <v>E0604</v>
      </c>
      <c r="F173" s="1" t="str">
        <f>T("09/12/2017")</f>
        <v>09/12/2017</v>
      </c>
      <c r="G173" s="3"/>
      <c r="H173" s="1" t="str">
        <f>T("")</f>
        <v/>
      </c>
    </row>
    <row r="174" spans="1:8" x14ac:dyDescent="0.2">
      <c r="A174" s="1" t="s">
        <v>17</v>
      </c>
      <c r="B174" s="1" t="s">
        <v>120</v>
      </c>
      <c r="C174" s="1" t="s">
        <v>23</v>
      </c>
      <c r="D174" s="1" t="s">
        <v>62</v>
      </c>
      <c r="E174" s="1" t="s">
        <v>63</v>
      </c>
      <c r="F174" s="1" t="s">
        <v>26</v>
      </c>
      <c r="G174" s="3"/>
      <c r="H174" s="1"/>
    </row>
    <row r="175" spans="1:8" x14ac:dyDescent="0.2">
      <c r="A175" s="1" t="s">
        <v>17</v>
      </c>
      <c r="B175" s="3" t="s">
        <v>107</v>
      </c>
      <c r="C175" s="3" t="s">
        <v>20</v>
      </c>
      <c r="D175" s="2" t="s">
        <v>21</v>
      </c>
      <c r="E175" s="3" t="s">
        <v>22</v>
      </c>
      <c r="F175" s="4">
        <v>42850</v>
      </c>
      <c r="G175" s="3"/>
      <c r="H175" s="3"/>
    </row>
    <row r="176" spans="1:8" x14ac:dyDescent="0.2">
      <c r="A176" s="1" t="s">
        <v>17</v>
      </c>
      <c r="B176" s="6" t="s">
        <v>108</v>
      </c>
      <c r="C176" s="3" t="s">
        <v>20</v>
      </c>
      <c r="D176" s="3"/>
      <c r="E176" s="3" t="s">
        <v>22</v>
      </c>
      <c r="F176" s="4">
        <v>42850</v>
      </c>
      <c r="G176" s="3"/>
      <c r="H176" s="3"/>
    </row>
    <row r="177" spans="1:8" ht="15" customHeight="1" x14ac:dyDescent="0.2">
      <c r="A177" s="1" t="s">
        <v>18</v>
      </c>
      <c r="B177" s="3" t="s">
        <v>107</v>
      </c>
      <c r="C177" s="3" t="s">
        <v>84</v>
      </c>
      <c r="D177" s="2" t="s">
        <v>21</v>
      </c>
      <c r="E177" s="3" t="s">
        <v>22</v>
      </c>
      <c r="F177" s="4">
        <v>42338</v>
      </c>
      <c r="G177" s="4">
        <v>42849</v>
      </c>
      <c r="H177" s="3"/>
    </row>
    <row r="178" spans="1:8" x14ac:dyDescent="0.2">
      <c r="A178" s="1" t="s">
        <v>18</v>
      </c>
      <c r="B178" s="6" t="s">
        <v>108</v>
      </c>
      <c r="C178" s="3" t="s">
        <v>84</v>
      </c>
      <c r="D178" s="3"/>
      <c r="E178" s="3" t="s">
        <v>22</v>
      </c>
      <c r="F178" s="4">
        <v>42255</v>
      </c>
      <c r="G178" s="4">
        <v>42849</v>
      </c>
      <c r="H178" s="3"/>
    </row>
    <row r="179" spans="1:8" x14ac:dyDescent="0.2">
      <c r="A179" s="1" t="s">
        <v>17</v>
      </c>
      <c r="B179" s="1" t="str">
        <f t="shared" ref="B179:B184" si="26">T("SPROUT WHEELCHAIR 16")</f>
        <v>SPROUT WHEELCHAIR 16</v>
      </c>
      <c r="C179" s="1" t="str">
        <f t="shared" ref="C179:C190" si="27">T("INSPIRED BY DRIVE")</f>
        <v>INSPIRED BY DRIVE</v>
      </c>
      <c r="D179" s="1" t="str">
        <f>T("WCS1-6916S")</f>
        <v>WCS1-6916S</v>
      </c>
      <c r="E179" s="1" t="str">
        <f t="shared" ref="E179:E190" si="28">T("E1038")</f>
        <v>E1038</v>
      </c>
      <c r="F179" s="1" t="str">
        <f t="shared" ref="F179:F190" si="29">T("09/18/2017")</f>
        <v>09/18/2017</v>
      </c>
      <c r="G179" s="3"/>
      <c r="H179" s="1" t="str">
        <f t="shared" ref="H179:H201" si="30">T("")</f>
        <v/>
      </c>
    </row>
    <row r="180" spans="1:8" x14ac:dyDescent="0.2">
      <c r="A180" s="1" t="s">
        <v>17</v>
      </c>
      <c r="B180" s="1" t="str">
        <f t="shared" si="26"/>
        <v>SPROUT WHEELCHAIR 16</v>
      </c>
      <c r="C180" s="1" t="str">
        <f t="shared" si="27"/>
        <v>INSPIRED BY DRIVE</v>
      </c>
      <c r="D180" s="1" t="str">
        <f>T("WCS1-6916M")</f>
        <v>WCS1-6916M</v>
      </c>
      <c r="E180" s="1" t="str">
        <f t="shared" si="28"/>
        <v>E1038</v>
      </c>
      <c r="F180" s="1" t="str">
        <f t="shared" si="29"/>
        <v>09/18/2017</v>
      </c>
      <c r="G180" s="3"/>
      <c r="H180" s="1" t="str">
        <f t="shared" si="30"/>
        <v/>
      </c>
    </row>
    <row r="181" spans="1:8" x14ac:dyDescent="0.2">
      <c r="A181" s="1" t="s">
        <v>17</v>
      </c>
      <c r="B181" s="1" t="str">
        <f t="shared" si="26"/>
        <v>SPROUT WHEELCHAIR 16</v>
      </c>
      <c r="C181" s="1" t="str">
        <f t="shared" si="27"/>
        <v>INSPIRED BY DRIVE</v>
      </c>
      <c r="D181" s="1" t="str">
        <f>T("WCS1-6916L")</f>
        <v>WCS1-6916L</v>
      </c>
      <c r="E181" s="1" t="str">
        <f t="shared" si="28"/>
        <v>E1038</v>
      </c>
      <c r="F181" s="1" t="str">
        <f t="shared" si="29"/>
        <v>09/18/2017</v>
      </c>
      <c r="G181" s="3"/>
      <c r="H181" s="1" t="str">
        <f t="shared" si="30"/>
        <v/>
      </c>
    </row>
    <row r="182" spans="1:8" x14ac:dyDescent="0.2">
      <c r="A182" s="1" t="s">
        <v>17</v>
      </c>
      <c r="B182" s="1" t="str">
        <f t="shared" si="26"/>
        <v>SPROUT WHEELCHAIR 16</v>
      </c>
      <c r="C182" s="1" t="str">
        <f t="shared" si="27"/>
        <v>INSPIRED BY DRIVE</v>
      </c>
      <c r="D182" s="1" t="str">
        <f>T("WCS3-6916S")</f>
        <v>WCS3-6916S</v>
      </c>
      <c r="E182" s="1" t="str">
        <f t="shared" si="28"/>
        <v>E1038</v>
      </c>
      <c r="F182" s="1" t="str">
        <f t="shared" si="29"/>
        <v>09/18/2017</v>
      </c>
      <c r="G182" s="3"/>
      <c r="H182" s="1" t="str">
        <f t="shared" si="30"/>
        <v/>
      </c>
    </row>
    <row r="183" spans="1:8" x14ac:dyDescent="0.2">
      <c r="A183" s="1" t="s">
        <v>17</v>
      </c>
      <c r="B183" s="1" t="str">
        <f t="shared" si="26"/>
        <v>SPROUT WHEELCHAIR 16</v>
      </c>
      <c r="C183" s="1" t="str">
        <f t="shared" si="27"/>
        <v>INSPIRED BY DRIVE</v>
      </c>
      <c r="D183" s="1" t="str">
        <f>T("WCS3-6916M")</f>
        <v>WCS3-6916M</v>
      </c>
      <c r="E183" s="1" t="str">
        <f t="shared" si="28"/>
        <v>E1038</v>
      </c>
      <c r="F183" s="1" t="str">
        <f t="shared" si="29"/>
        <v>09/18/2017</v>
      </c>
      <c r="G183" s="3"/>
      <c r="H183" s="1" t="str">
        <f t="shared" si="30"/>
        <v/>
      </c>
    </row>
    <row r="184" spans="1:8" x14ac:dyDescent="0.2">
      <c r="A184" s="1" t="s">
        <v>17</v>
      </c>
      <c r="B184" s="1" t="str">
        <f t="shared" si="26"/>
        <v>SPROUT WHEELCHAIR 16</v>
      </c>
      <c r="C184" s="1" t="str">
        <f t="shared" si="27"/>
        <v>INSPIRED BY DRIVE</v>
      </c>
      <c r="D184" s="1" t="str">
        <f>T("WCS3-6916L")</f>
        <v>WCS3-6916L</v>
      </c>
      <c r="E184" s="1" t="str">
        <f t="shared" si="28"/>
        <v>E1038</v>
      </c>
      <c r="F184" s="1" t="str">
        <f t="shared" si="29"/>
        <v>09/18/2017</v>
      </c>
      <c r="G184" s="3"/>
      <c r="H184" s="1" t="str">
        <f t="shared" si="30"/>
        <v/>
      </c>
    </row>
    <row r="185" spans="1:8" x14ac:dyDescent="0.2">
      <c r="A185" s="1" t="s">
        <v>17</v>
      </c>
      <c r="B185" s="1" t="str">
        <f t="shared" ref="B185:B190" si="31">T("SPROUT WHEELCHAIR 18")</f>
        <v>SPROUT WHEELCHAIR 18</v>
      </c>
      <c r="C185" s="1" t="str">
        <f t="shared" si="27"/>
        <v>INSPIRED BY DRIVE</v>
      </c>
      <c r="D185" s="1" t="str">
        <f>T("WCS1-6918S")</f>
        <v>WCS1-6918S</v>
      </c>
      <c r="E185" s="1" t="str">
        <f t="shared" si="28"/>
        <v>E1038</v>
      </c>
      <c r="F185" s="1" t="str">
        <f t="shared" si="29"/>
        <v>09/18/2017</v>
      </c>
      <c r="G185" s="3"/>
      <c r="H185" s="1" t="str">
        <f t="shared" si="30"/>
        <v/>
      </c>
    </row>
    <row r="186" spans="1:8" x14ac:dyDescent="0.2">
      <c r="A186" s="1" t="s">
        <v>17</v>
      </c>
      <c r="B186" s="1" t="str">
        <f t="shared" si="31"/>
        <v>SPROUT WHEELCHAIR 18</v>
      </c>
      <c r="C186" s="1" t="str">
        <f t="shared" si="27"/>
        <v>INSPIRED BY DRIVE</v>
      </c>
      <c r="D186" s="1" t="str">
        <f>T("WCS1-6918M")</f>
        <v>WCS1-6918M</v>
      </c>
      <c r="E186" s="1" t="str">
        <f t="shared" si="28"/>
        <v>E1038</v>
      </c>
      <c r="F186" s="1" t="str">
        <f t="shared" si="29"/>
        <v>09/18/2017</v>
      </c>
      <c r="G186" s="3"/>
      <c r="H186" s="1" t="str">
        <f t="shared" si="30"/>
        <v/>
      </c>
    </row>
    <row r="187" spans="1:8" x14ac:dyDescent="0.2">
      <c r="A187" s="1" t="s">
        <v>17</v>
      </c>
      <c r="B187" s="1" t="str">
        <f t="shared" si="31"/>
        <v>SPROUT WHEELCHAIR 18</v>
      </c>
      <c r="C187" s="1" t="str">
        <f t="shared" si="27"/>
        <v>INSPIRED BY DRIVE</v>
      </c>
      <c r="D187" s="1" t="str">
        <f>T("WCS1-6918L")</f>
        <v>WCS1-6918L</v>
      </c>
      <c r="E187" s="1" t="str">
        <f t="shared" si="28"/>
        <v>E1038</v>
      </c>
      <c r="F187" s="1" t="str">
        <f t="shared" si="29"/>
        <v>09/18/2017</v>
      </c>
      <c r="G187" s="3"/>
      <c r="H187" s="1" t="str">
        <f t="shared" si="30"/>
        <v/>
      </c>
    </row>
    <row r="188" spans="1:8" x14ac:dyDescent="0.2">
      <c r="A188" s="1" t="s">
        <v>17</v>
      </c>
      <c r="B188" s="1" t="str">
        <f t="shared" si="31"/>
        <v>SPROUT WHEELCHAIR 18</v>
      </c>
      <c r="C188" s="1" t="str">
        <f t="shared" si="27"/>
        <v>INSPIRED BY DRIVE</v>
      </c>
      <c r="D188" s="1" t="str">
        <f>T("WCS3-6918S")</f>
        <v>WCS3-6918S</v>
      </c>
      <c r="E188" s="1" t="str">
        <f t="shared" si="28"/>
        <v>E1038</v>
      </c>
      <c r="F188" s="1" t="str">
        <f t="shared" si="29"/>
        <v>09/18/2017</v>
      </c>
      <c r="G188" s="3"/>
      <c r="H188" s="1" t="str">
        <f t="shared" si="30"/>
        <v/>
      </c>
    </row>
    <row r="189" spans="1:8" x14ac:dyDescent="0.2">
      <c r="A189" s="1" t="s">
        <v>17</v>
      </c>
      <c r="B189" s="1" t="str">
        <f t="shared" si="31"/>
        <v>SPROUT WHEELCHAIR 18</v>
      </c>
      <c r="C189" s="1" t="str">
        <f t="shared" si="27"/>
        <v>INSPIRED BY DRIVE</v>
      </c>
      <c r="D189" s="1" t="str">
        <f>T("WCS3-6918M")</f>
        <v>WCS3-6918M</v>
      </c>
      <c r="E189" s="1" t="str">
        <f t="shared" si="28"/>
        <v>E1038</v>
      </c>
      <c r="F189" s="1" t="str">
        <f t="shared" si="29"/>
        <v>09/18/2017</v>
      </c>
      <c r="G189" s="3"/>
      <c r="H189" s="1" t="str">
        <f t="shared" si="30"/>
        <v/>
      </c>
    </row>
    <row r="190" spans="1:8" x14ac:dyDescent="0.2">
      <c r="A190" s="1" t="s">
        <v>17</v>
      </c>
      <c r="B190" s="1" t="str">
        <f t="shared" si="31"/>
        <v>SPROUT WHEELCHAIR 18</v>
      </c>
      <c r="C190" s="1" t="str">
        <f t="shared" si="27"/>
        <v>INSPIRED BY DRIVE</v>
      </c>
      <c r="D190" s="1" t="str">
        <f>T("WCS3-6918L")</f>
        <v>WCS3-6918L</v>
      </c>
      <c r="E190" s="1" t="str">
        <f t="shared" si="28"/>
        <v>E1038</v>
      </c>
      <c r="F190" s="1" t="str">
        <f t="shared" si="29"/>
        <v>09/18/2017</v>
      </c>
      <c r="G190" s="3"/>
      <c r="H190" s="1" t="str">
        <f t="shared" si="30"/>
        <v/>
      </c>
    </row>
    <row r="191" spans="1:8" x14ac:dyDescent="0.2">
      <c r="A191" s="1" t="s">
        <v>17</v>
      </c>
      <c r="B191" s="1" t="str">
        <f>T("PROBASICS TRANSPORT CHAIR")</f>
        <v>PROBASICS TRANSPORT CHAIR</v>
      </c>
      <c r="C191" s="1" t="str">
        <f>T("COMPASS HEALTH BRANDS CORP")</f>
        <v>COMPASS HEALTH BRANDS CORP</v>
      </c>
      <c r="D191" s="1" t="str">
        <f>T("TCS1916SV")</f>
        <v>TCS1916SV</v>
      </c>
      <c r="E191" s="1" t="str">
        <f>T("E1038+E0978")</f>
        <v>E1038+E0978</v>
      </c>
      <c r="F191" s="1" t="str">
        <f>T("09/01/2017")</f>
        <v>09/01/2017</v>
      </c>
      <c r="G191" s="3"/>
      <c r="H191" s="1" t="str">
        <f t="shared" si="30"/>
        <v/>
      </c>
    </row>
    <row r="192" spans="1:8" x14ac:dyDescent="0.2">
      <c r="A192" s="1" t="s">
        <v>17</v>
      </c>
      <c r="B192" s="1" t="str">
        <f>T("PROBASICS TRANSPORT CHAIR")</f>
        <v>PROBASICS TRANSPORT CHAIR</v>
      </c>
      <c r="C192" s="1" t="str">
        <f>T("COMPASS HEALTH BRANDS CORP")</f>
        <v>COMPASS HEALTH BRANDS CORP</v>
      </c>
      <c r="D192" s="1" t="str">
        <f>T("TCA1916BG")</f>
        <v>TCA1916BG</v>
      </c>
      <c r="E192" s="1" t="str">
        <f>T("E1038+E0978")</f>
        <v>E1038+E0978</v>
      </c>
      <c r="F192" s="1" t="str">
        <f>T("09/01/2017")</f>
        <v>09/01/2017</v>
      </c>
      <c r="G192" s="3"/>
      <c r="H192" s="1" t="str">
        <f t="shared" si="30"/>
        <v/>
      </c>
    </row>
    <row r="193" spans="1:8" x14ac:dyDescent="0.2">
      <c r="A193" s="1" t="s">
        <v>17</v>
      </c>
      <c r="B193" s="1" t="str">
        <f>T("PROBASICS TRANSPORT CHAIR")</f>
        <v>PROBASICS TRANSPORT CHAIR</v>
      </c>
      <c r="C193" s="1" t="str">
        <f>T("COMPASS HEALTH BRANDS CORP")</f>
        <v>COMPASS HEALTH BRANDS CORP</v>
      </c>
      <c r="D193" s="1" t="str">
        <f>T("TCA1916BL")</f>
        <v>TCA1916BL</v>
      </c>
      <c r="E193" s="1" t="str">
        <f>T("E1038+E0978")</f>
        <v>E1038+E0978</v>
      </c>
      <c r="F193" s="1" t="str">
        <f>T("09/01/2017")</f>
        <v>09/01/2017</v>
      </c>
      <c r="G193" s="3"/>
      <c r="H193" s="1" t="str">
        <f t="shared" si="30"/>
        <v/>
      </c>
    </row>
    <row r="194" spans="1:8" x14ac:dyDescent="0.2">
      <c r="A194" s="1" t="s">
        <v>17</v>
      </c>
      <c r="B194" s="1" t="str">
        <f>T("PROBASICS TRANSPORT CHAIR")</f>
        <v>PROBASICS TRANSPORT CHAIR</v>
      </c>
      <c r="C194" s="1" t="str">
        <f>T("COMPASS HEALTH BRANDS CORP")</f>
        <v>COMPASS HEALTH BRANDS CORP</v>
      </c>
      <c r="D194" s="1" t="str">
        <f>T("TCA1916PK")</f>
        <v>TCA1916PK</v>
      </c>
      <c r="E194" s="1" t="str">
        <f>T("E1038+E0978")</f>
        <v>E1038+E0978</v>
      </c>
      <c r="F194" s="1" t="str">
        <f>T("09/01/2017")</f>
        <v>09/01/2017</v>
      </c>
      <c r="G194" s="3"/>
      <c r="H194" s="1" t="str">
        <f t="shared" si="30"/>
        <v/>
      </c>
    </row>
    <row r="195" spans="1:8" x14ac:dyDescent="0.2">
      <c r="A195" s="1" t="s">
        <v>17</v>
      </c>
      <c r="B195" s="1" t="str">
        <f>T("PROBASICS TRANSPORT CHAIR")</f>
        <v>PROBASICS TRANSPORT CHAIR</v>
      </c>
      <c r="C195" s="1" t="str">
        <f>T("COMPASS HEALTH BRANDS CORP")</f>
        <v>COMPASS HEALTH BRANDS CORP</v>
      </c>
      <c r="D195" s="1" t="str">
        <f>T("TCA191612BK")</f>
        <v>TCA191612BK</v>
      </c>
      <c r="E195" s="1" t="str">
        <f>T("E1038+E0978")</f>
        <v>E1038+E0978</v>
      </c>
      <c r="F195" s="1" t="str">
        <f>T("09/01/2017")</f>
        <v>09/01/2017</v>
      </c>
      <c r="G195" s="3"/>
      <c r="H195" s="1" t="str">
        <f t="shared" si="30"/>
        <v/>
      </c>
    </row>
    <row r="196" spans="1:8" x14ac:dyDescent="0.2">
      <c r="A196" s="1" t="s">
        <v>17</v>
      </c>
      <c r="B196" s="1" t="str">
        <f>T("ZEN-O PORTABLE OXYGEN CONCENTRATOR")</f>
        <v>ZEN-O PORTABLE OXYGEN CONCENTRATOR</v>
      </c>
      <c r="C196" s="1" t="str">
        <f t="shared" ref="C196:C201" si="32">T("GCE GAS CONTROL EQUIPMENT INC")</f>
        <v>GCE GAS CONTROL EQUIPMENT INC</v>
      </c>
      <c r="D196" s="1" t="str">
        <f>T("RS-00502")</f>
        <v>RS-00502</v>
      </c>
      <c r="E196" s="1" t="str">
        <f t="shared" ref="E196:E201" si="33">T("E1390+E1392")</f>
        <v>E1390+E1392</v>
      </c>
      <c r="F196" s="1" t="str">
        <f t="shared" ref="F196:F201" si="34">T("09/11/2017")</f>
        <v>09/11/2017</v>
      </c>
      <c r="G196" s="3"/>
      <c r="H196" s="1" t="str">
        <f t="shared" si="30"/>
        <v/>
      </c>
    </row>
    <row r="197" spans="1:8" x14ac:dyDescent="0.2">
      <c r="A197" s="1" t="s">
        <v>17</v>
      </c>
      <c r="B197" s="1" t="str">
        <f>T("ZEN-O LITE PORTABLE OXYGEN CONCENTRATOR")</f>
        <v>ZEN-O LITE PORTABLE OXYGEN CONCENTRATOR</v>
      </c>
      <c r="C197" s="1" t="str">
        <f t="shared" si="32"/>
        <v>GCE GAS CONTROL EQUIPMENT INC</v>
      </c>
      <c r="D197" s="1" t="str">
        <f>T("RS-00608")</f>
        <v>RS-00608</v>
      </c>
      <c r="E197" s="1" t="str">
        <f t="shared" si="33"/>
        <v>E1390+E1392</v>
      </c>
      <c r="F197" s="1" t="str">
        <f t="shared" si="34"/>
        <v>09/11/2017</v>
      </c>
      <c r="G197" s="3"/>
      <c r="H197" s="1" t="str">
        <f t="shared" si="30"/>
        <v/>
      </c>
    </row>
    <row r="198" spans="1:8" x14ac:dyDescent="0.2">
      <c r="A198" s="1" t="s">
        <v>17</v>
      </c>
      <c r="B198" s="1" t="str">
        <f>T("ZEN-O LITE PORTABLE OXYGEN CONCENTRATOR")</f>
        <v>ZEN-O LITE PORTABLE OXYGEN CONCENTRATOR</v>
      </c>
      <c r="C198" s="1" t="str">
        <f t="shared" si="32"/>
        <v>GCE GAS CONTROL EQUIPMENT INC</v>
      </c>
      <c r="D198" s="1" t="str">
        <f>T("RS-00608-X-S")</f>
        <v>RS-00608-X-S</v>
      </c>
      <c r="E198" s="1" t="str">
        <f t="shared" si="33"/>
        <v>E1390+E1392</v>
      </c>
      <c r="F198" s="1" t="str">
        <f t="shared" si="34"/>
        <v>09/11/2017</v>
      </c>
      <c r="G198" s="3"/>
      <c r="H198" s="1" t="str">
        <f t="shared" si="30"/>
        <v/>
      </c>
    </row>
    <row r="199" spans="1:8" x14ac:dyDescent="0.2">
      <c r="A199" s="1" t="s">
        <v>17</v>
      </c>
      <c r="B199" s="1" t="str">
        <f>T("ZEN-O LITE PORTABLE OXYGEN CONCENTRATOR")</f>
        <v>ZEN-O LITE PORTABLE OXYGEN CONCENTRATOR</v>
      </c>
      <c r="C199" s="1" t="str">
        <f t="shared" si="32"/>
        <v>GCE GAS CONTROL EQUIPMENT INC</v>
      </c>
      <c r="D199" s="1" t="str">
        <f>T("RS-00608-X-D")</f>
        <v>RS-00608-X-D</v>
      </c>
      <c r="E199" s="1" t="str">
        <f t="shared" si="33"/>
        <v>E1390+E1392</v>
      </c>
      <c r="F199" s="1" t="str">
        <f t="shared" si="34"/>
        <v>09/11/2017</v>
      </c>
      <c r="G199" s="3"/>
      <c r="H199" s="1" t="str">
        <f t="shared" si="30"/>
        <v/>
      </c>
    </row>
    <row r="200" spans="1:8" x14ac:dyDescent="0.2">
      <c r="A200" s="1" t="s">
        <v>17</v>
      </c>
      <c r="B200" s="1" t="str">
        <f>T("ZEN-O PORTABLE OXYGEN CONCENTRATOR")</f>
        <v>ZEN-O PORTABLE OXYGEN CONCENTRATOR</v>
      </c>
      <c r="C200" s="1" t="str">
        <f t="shared" si="32"/>
        <v>GCE GAS CONTROL EQUIPMENT INC</v>
      </c>
      <c r="D200" s="1" t="str">
        <f>T("RS-00502-X-S")</f>
        <v>RS-00502-X-S</v>
      </c>
      <c r="E200" s="1" t="str">
        <f t="shared" si="33"/>
        <v>E1390+E1392</v>
      </c>
      <c r="F200" s="1" t="str">
        <f t="shared" si="34"/>
        <v>09/11/2017</v>
      </c>
      <c r="G200" s="3"/>
      <c r="H200" s="1" t="str">
        <f t="shared" si="30"/>
        <v/>
      </c>
    </row>
    <row r="201" spans="1:8" x14ac:dyDescent="0.2">
      <c r="A201" s="1" t="s">
        <v>17</v>
      </c>
      <c r="B201" s="1" t="str">
        <f>T("ZEN-O PORTABLE OXYGEN CONCENTRATOR")</f>
        <v>ZEN-O PORTABLE OXYGEN CONCENTRATOR</v>
      </c>
      <c r="C201" s="1" t="str">
        <f t="shared" si="32"/>
        <v>GCE GAS CONTROL EQUIPMENT INC</v>
      </c>
      <c r="D201" s="1" t="str">
        <f>T("RS-00502-X-D")</f>
        <v>RS-00502-X-D</v>
      </c>
      <c r="E201" s="1" t="str">
        <f t="shared" si="33"/>
        <v>E1390+E1392</v>
      </c>
      <c r="F201" s="1" t="str">
        <f t="shared" si="34"/>
        <v>09/11/2017</v>
      </c>
      <c r="G201" s="3"/>
      <c r="H201" s="1" t="str">
        <f t="shared" si="30"/>
        <v/>
      </c>
    </row>
    <row r="202" spans="1:8" x14ac:dyDescent="0.2">
      <c r="A202" s="1" t="s">
        <v>18</v>
      </c>
      <c r="B202" s="3" t="s">
        <v>137</v>
      </c>
      <c r="C202" s="3" t="s">
        <v>102</v>
      </c>
      <c r="D202" s="2" t="s">
        <v>103</v>
      </c>
      <c r="E202" s="3" t="s">
        <v>104</v>
      </c>
      <c r="F202" s="4">
        <v>42361</v>
      </c>
      <c r="G202" s="3"/>
      <c r="H202" s="3" t="s">
        <v>105</v>
      </c>
    </row>
    <row r="203" spans="1:8" x14ac:dyDescent="0.2">
      <c r="A203" s="1" t="s">
        <v>17</v>
      </c>
      <c r="B203" s="1" t="str">
        <f>T("ZUVO 10-D SPEECH GENERATING DEVICE")</f>
        <v>ZUVO 10-D SPEECH GENERATING DEVICE</v>
      </c>
      <c r="C203" s="1" t="str">
        <f>T("TALK TO ME TECHNOLOGIES LLC")</f>
        <v>TALK TO ME TECHNOLOGIES LLC</v>
      </c>
      <c r="D203" s="1" t="str">
        <f>T("ZUVO 10-D")</f>
        <v>ZUVO 10-D</v>
      </c>
      <c r="E203" s="1" t="str">
        <f>T("E2510")</f>
        <v>E2510</v>
      </c>
      <c r="F203" s="1" t="str">
        <f>T("09/27/2017")</f>
        <v>09/27/2017</v>
      </c>
      <c r="G203" s="3"/>
      <c r="H203" s="1" t="str">
        <f>T("")</f>
        <v/>
      </c>
    </row>
    <row r="204" spans="1:8" x14ac:dyDescent="0.2">
      <c r="A204" s="1" t="s">
        <v>18</v>
      </c>
      <c r="B204" s="3" t="s">
        <v>134</v>
      </c>
      <c r="C204" s="3" t="s">
        <v>88</v>
      </c>
      <c r="D204" s="2" t="s">
        <v>89</v>
      </c>
      <c r="E204" s="3" t="s">
        <v>90</v>
      </c>
      <c r="F204" s="4">
        <v>42801</v>
      </c>
      <c r="G204" s="4">
        <v>42995</v>
      </c>
      <c r="H204" s="3"/>
    </row>
    <row r="205" spans="1:8" x14ac:dyDescent="0.2">
      <c r="A205" s="1" t="s">
        <v>18</v>
      </c>
      <c r="B205" s="3" t="s">
        <v>134</v>
      </c>
      <c r="C205" s="3" t="s">
        <v>88</v>
      </c>
      <c r="D205" s="2" t="s">
        <v>91</v>
      </c>
      <c r="E205" s="3" t="s">
        <v>90</v>
      </c>
      <c r="F205" s="4">
        <v>42801</v>
      </c>
      <c r="G205" s="4">
        <v>42995</v>
      </c>
      <c r="H205" s="3"/>
    </row>
    <row r="206" spans="1:8" x14ac:dyDescent="0.2">
      <c r="A206" s="1" t="s">
        <v>18</v>
      </c>
      <c r="B206" s="3" t="s">
        <v>134</v>
      </c>
      <c r="C206" s="3" t="s">
        <v>88</v>
      </c>
      <c r="D206" s="2" t="s">
        <v>92</v>
      </c>
      <c r="E206" s="3" t="s">
        <v>90</v>
      </c>
      <c r="F206" s="4">
        <v>42801</v>
      </c>
      <c r="G206" s="4">
        <v>42995</v>
      </c>
      <c r="H206" s="3"/>
    </row>
    <row r="207" spans="1:8" x14ac:dyDescent="0.2">
      <c r="A207" s="1" t="s">
        <v>18</v>
      </c>
      <c r="B207" s="3" t="s">
        <v>134</v>
      </c>
      <c r="C207" s="3" t="s">
        <v>88</v>
      </c>
      <c r="D207" s="2" t="s">
        <v>93</v>
      </c>
      <c r="E207" s="3" t="s">
        <v>90</v>
      </c>
      <c r="F207" s="4">
        <v>42801</v>
      </c>
      <c r="G207" s="4">
        <v>42995</v>
      </c>
      <c r="H207" s="3"/>
    </row>
    <row r="208" spans="1:8" x14ac:dyDescent="0.2">
      <c r="A208" s="1" t="s">
        <v>18</v>
      </c>
      <c r="B208" s="3" t="s">
        <v>134</v>
      </c>
      <c r="C208" s="3" t="s">
        <v>88</v>
      </c>
      <c r="D208" s="2" t="s">
        <v>94</v>
      </c>
      <c r="E208" s="3" t="s">
        <v>90</v>
      </c>
      <c r="F208" s="4">
        <v>42801</v>
      </c>
      <c r="G208" s="4">
        <v>42995</v>
      </c>
      <c r="H208" s="3"/>
    </row>
    <row r="209" spans="1:8" x14ac:dyDescent="0.2">
      <c r="A209" s="1" t="s">
        <v>18</v>
      </c>
      <c r="B209" s="3" t="s">
        <v>134</v>
      </c>
      <c r="C209" s="3" t="s">
        <v>88</v>
      </c>
      <c r="D209" s="2" t="s">
        <v>95</v>
      </c>
      <c r="E209" s="3" t="s">
        <v>90</v>
      </c>
      <c r="F209" s="4">
        <v>42801</v>
      </c>
      <c r="G209" s="4">
        <v>42995</v>
      </c>
      <c r="H209" s="3"/>
    </row>
    <row r="210" spans="1:8" x14ac:dyDescent="0.2">
      <c r="A210" s="1" t="s">
        <v>18</v>
      </c>
      <c r="B210" s="3" t="s">
        <v>135</v>
      </c>
      <c r="C210" s="3" t="s">
        <v>88</v>
      </c>
      <c r="D210" s="2" t="s">
        <v>96</v>
      </c>
      <c r="E210" s="3" t="s">
        <v>90</v>
      </c>
      <c r="F210" s="4">
        <v>42801</v>
      </c>
      <c r="G210" s="4">
        <v>42995</v>
      </c>
      <c r="H210" s="3"/>
    </row>
    <row r="211" spans="1:8" x14ac:dyDescent="0.2">
      <c r="A211" s="1" t="s">
        <v>18</v>
      </c>
      <c r="B211" s="3" t="s">
        <v>135</v>
      </c>
      <c r="C211" s="3" t="s">
        <v>88</v>
      </c>
      <c r="D211" s="2" t="s">
        <v>97</v>
      </c>
      <c r="E211" s="3" t="s">
        <v>90</v>
      </c>
      <c r="F211" s="4">
        <v>42801</v>
      </c>
      <c r="G211" s="4">
        <v>42995</v>
      </c>
      <c r="H211" s="3"/>
    </row>
    <row r="212" spans="1:8" x14ac:dyDescent="0.2">
      <c r="A212" s="1" t="s">
        <v>18</v>
      </c>
      <c r="B212" s="3" t="s">
        <v>135</v>
      </c>
      <c r="C212" s="3" t="s">
        <v>88</v>
      </c>
      <c r="D212" s="2" t="s">
        <v>98</v>
      </c>
      <c r="E212" s="3" t="s">
        <v>90</v>
      </c>
      <c r="F212" s="4">
        <v>42801</v>
      </c>
      <c r="G212" s="4">
        <v>42995</v>
      </c>
      <c r="H212" s="3"/>
    </row>
    <row r="213" spans="1:8" x14ac:dyDescent="0.2">
      <c r="A213" s="1" t="s">
        <v>18</v>
      </c>
      <c r="B213" s="3" t="s">
        <v>135</v>
      </c>
      <c r="C213" s="3" t="s">
        <v>88</v>
      </c>
      <c r="D213" s="2" t="s">
        <v>99</v>
      </c>
      <c r="E213" s="3" t="s">
        <v>90</v>
      </c>
      <c r="F213" s="4">
        <v>42801</v>
      </c>
      <c r="G213" s="4">
        <v>42995</v>
      </c>
      <c r="H213" s="3"/>
    </row>
    <row r="214" spans="1:8" x14ac:dyDescent="0.2">
      <c r="A214" s="1" t="s">
        <v>18</v>
      </c>
      <c r="B214" s="3" t="s">
        <v>135</v>
      </c>
      <c r="C214" s="3" t="s">
        <v>88</v>
      </c>
      <c r="D214" s="2" t="s">
        <v>100</v>
      </c>
      <c r="E214" s="3" t="s">
        <v>90</v>
      </c>
      <c r="F214" s="4">
        <v>42801</v>
      </c>
      <c r="G214" s="4">
        <v>42995</v>
      </c>
      <c r="H214" s="3"/>
    </row>
    <row r="215" spans="1:8" x14ac:dyDescent="0.2">
      <c r="A215" s="1" t="s">
        <v>18</v>
      </c>
      <c r="B215" s="3" t="s">
        <v>135</v>
      </c>
      <c r="C215" s="3" t="s">
        <v>88</v>
      </c>
      <c r="D215" s="2" t="s">
        <v>101</v>
      </c>
      <c r="E215" s="3" t="s">
        <v>90</v>
      </c>
      <c r="F215" s="4">
        <v>42801</v>
      </c>
      <c r="G215" s="4">
        <v>42995</v>
      </c>
      <c r="H215" s="3"/>
    </row>
    <row r="216" spans="1:8" x14ac:dyDescent="0.2">
      <c r="A216" s="1" t="s">
        <v>17</v>
      </c>
      <c r="B216" s="1" t="str">
        <f>T("ELEVATION")</f>
        <v>ELEVATION</v>
      </c>
      <c r="C216" s="1" t="str">
        <f>T("PDG PRODUCT DESIGN GROUP INC")</f>
        <v>PDG PRODUCT DESIGN GROUP INC</v>
      </c>
      <c r="D216" s="1" t="str">
        <f>T("55155")</f>
        <v>55155</v>
      </c>
      <c r="E216" s="1" t="str">
        <f>T("K0005 OR E1235")</f>
        <v>K0005 OR E1235</v>
      </c>
      <c r="F216" s="1" t="str">
        <f>T("09/01/2017")</f>
        <v>09/01/2017</v>
      </c>
      <c r="G216" s="3"/>
      <c r="H216" s="1" t="str">
        <f>T("")</f>
        <v/>
      </c>
    </row>
    <row r="217" spans="1:8" x14ac:dyDescent="0.2">
      <c r="A217" s="1" t="s">
        <v>18</v>
      </c>
      <c r="B217" s="3" t="s">
        <v>129</v>
      </c>
      <c r="C217" s="3" t="s">
        <v>77</v>
      </c>
      <c r="D217" s="2" t="s">
        <v>78</v>
      </c>
      <c r="E217" s="3" t="s">
        <v>79</v>
      </c>
      <c r="F217" s="4">
        <v>42892</v>
      </c>
      <c r="G217" s="4">
        <v>42978</v>
      </c>
      <c r="H217" s="3"/>
    </row>
    <row r="218" spans="1:8" x14ac:dyDescent="0.2">
      <c r="A218" s="1" t="s">
        <v>17</v>
      </c>
      <c r="B218" s="1" t="str">
        <f>T("QUICKIE XENON2 SWING AWAY")</f>
        <v>QUICKIE XENON2 SWING AWAY</v>
      </c>
      <c r="C218" s="1" t="str">
        <f>T("SUNRISE MEDICAL (US) LLC")</f>
        <v>SUNRISE MEDICAL (US) LLC</v>
      </c>
      <c r="D218" s="1" t="str">
        <f>T("")</f>
        <v/>
      </c>
      <c r="E218" s="1" t="str">
        <f>T("K0005 OR E1236")</f>
        <v>K0005 OR E1236</v>
      </c>
      <c r="F218" s="1" t="str">
        <f>T("09/22/2017")</f>
        <v>09/22/2017</v>
      </c>
      <c r="G218" s="3"/>
      <c r="H218" s="1" t="str">
        <f t="shared" ref="H218:H224" si="35">T("")</f>
        <v/>
      </c>
    </row>
    <row r="219" spans="1:8" x14ac:dyDescent="0.2">
      <c r="A219" s="1" t="s">
        <v>17</v>
      </c>
      <c r="B219" s="1" t="str">
        <f>T("QUICKIE XENON2 HYBRID - DUAL TUBE")</f>
        <v>QUICKIE XENON2 HYBRID - DUAL TUBE</v>
      </c>
      <c r="C219" s="1" t="str">
        <f>T("SUNRISE MEDICAL (US) LLC")</f>
        <v>SUNRISE MEDICAL (US) LLC</v>
      </c>
      <c r="D219" s="1" t="str">
        <f>T("")</f>
        <v/>
      </c>
      <c r="E219" s="1" t="str">
        <f>T("K0005 OR E1236")</f>
        <v>K0005 OR E1236</v>
      </c>
      <c r="F219" s="1" t="str">
        <f>T("09/22/2017")</f>
        <v>09/22/2017</v>
      </c>
      <c r="G219" s="3"/>
      <c r="H219" s="1" t="str">
        <f t="shared" si="35"/>
        <v/>
      </c>
    </row>
    <row r="220" spans="1:8" x14ac:dyDescent="0.2">
      <c r="A220" s="1" t="s">
        <v>17</v>
      </c>
      <c r="B220" s="1" t="str">
        <f>T("QUICKIE XENON2 FIXED FRONT")</f>
        <v>QUICKIE XENON2 FIXED FRONT</v>
      </c>
      <c r="C220" s="1" t="str">
        <f>T("SUNRISE MEDICAL (US) LLC")</f>
        <v>SUNRISE MEDICAL (US) LLC</v>
      </c>
      <c r="D220" s="1" t="str">
        <f>T("")</f>
        <v/>
      </c>
      <c r="E220" s="1" t="str">
        <f>T("K0005 OR E1236")</f>
        <v>K0005 OR E1236</v>
      </c>
      <c r="F220" s="1" t="str">
        <f>T("09/22/2017")</f>
        <v>09/22/2017</v>
      </c>
      <c r="G220" s="3"/>
      <c r="H220" s="1" t="str">
        <f t="shared" si="35"/>
        <v/>
      </c>
    </row>
    <row r="221" spans="1:8" x14ac:dyDescent="0.2">
      <c r="A221" s="1" t="s">
        <v>17</v>
      </c>
      <c r="B221" s="1" t="str">
        <f>T("PEDI I-DRIVE CONTROL HARNESS")</f>
        <v>PEDI I-DRIVE CONTROL HARNESS</v>
      </c>
      <c r="C221" s="1" t="str">
        <f>T("STEALTH PRODUCTS LLC")</f>
        <v>STEALTH PRODUCTS LLC</v>
      </c>
      <c r="D221" s="1" t="str">
        <f>T("IDCH-P")</f>
        <v>IDCH-P</v>
      </c>
      <c r="E221" s="1" t="str">
        <f>T("K0108")</f>
        <v>K0108</v>
      </c>
      <c r="F221" s="1" t="str">
        <f>T("09/26/2017")</f>
        <v>09/26/2017</v>
      </c>
      <c r="G221" s="3"/>
      <c r="H221" s="1" t="str">
        <f t="shared" si="35"/>
        <v/>
      </c>
    </row>
    <row r="222" spans="1:8" x14ac:dyDescent="0.2">
      <c r="A222" s="1" t="s">
        <v>17</v>
      </c>
      <c r="B222" s="1" t="str">
        <f>T("SMALL I-DRIVE CONTROL HARNESS")</f>
        <v>SMALL I-DRIVE CONTROL HARNESS</v>
      </c>
      <c r="C222" s="1" t="str">
        <f>T("STEALTH PRODUCTS LLC")</f>
        <v>STEALTH PRODUCTS LLC</v>
      </c>
      <c r="D222" s="1" t="str">
        <f>T("IDCH-S")</f>
        <v>IDCH-S</v>
      </c>
      <c r="E222" s="1" t="str">
        <f>T("K0108")</f>
        <v>K0108</v>
      </c>
      <c r="F222" s="1" t="str">
        <f>T("09/26/2017")</f>
        <v>09/26/2017</v>
      </c>
      <c r="G222" s="3"/>
      <c r="H222" s="1" t="str">
        <f t="shared" si="35"/>
        <v/>
      </c>
    </row>
    <row r="223" spans="1:8" x14ac:dyDescent="0.2">
      <c r="A223" s="1" t="s">
        <v>17</v>
      </c>
      <c r="B223" s="1" t="str">
        <f>T("MEDIUM I-DRIVE CONTROL HARNESS")</f>
        <v>MEDIUM I-DRIVE CONTROL HARNESS</v>
      </c>
      <c r="C223" s="1" t="str">
        <f>T("STEALTH PRODUCTS LLC")</f>
        <v>STEALTH PRODUCTS LLC</v>
      </c>
      <c r="D223" s="1" t="str">
        <f>T("IDCH-M")</f>
        <v>IDCH-M</v>
      </c>
      <c r="E223" s="1" t="str">
        <f>T("K0108")</f>
        <v>K0108</v>
      </c>
      <c r="F223" s="1" t="str">
        <f>T("09/26/2017")</f>
        <v>09/26/2017</v>
      </c>
      <c r="G223" s="3"/>
      <c r="H223" s="1" t="str">
        <f t="shared" si="35"/>
        <v/>
      </c>
    </row>
    <row r="224" spans="1:8" x14ac:dyDescent="0.2">
      <c r="A224" s="1" t="s">
        <v>17</v>
      </c>
      <c r="B224" s="1" t="str">
        <f>T("LARGE I-DRIVE CONTROL HARNESS")</f>
        <v>LARGE I-DRIVE CONTROL HARNESS</v>
      </c>
      <c r="C224" s="1" t="str">
        <f>T("STEALTH PRODUCTS LLC")</f>
        <v>STEALTH PRODUCTS LLC</v>
      </c>
      <c r="D224" s="1" t="str">
        <f>T("IDCH-L")</f>
        <v>IDCH-L</v>
      </c>
      <c r="E224" s="1" t="str">
        <f>T("K0108")</f>
        <v>K0108</v>
      </c>
      <c r="F224" s="1" t="str">
        <f>T("09/26/2017")</f>
        <v>09/26/2017</v>
      </c>
      <c r="G224" s="3"/>
      <c r="H224" s="1" t="str">
        <f t="shared" si="35"/>
        <v/>
      </c>
    </row>
    <row r="225" spans="1:8" x14ac:dyDescent="0.2">
      <c r="A225" s="1" t="s">
        <v>17</v>
      </c>
      <c r="B225" s="1" t="str">
        <f>T("Q6 EDGE 2.0 X")</f>
        <v>Q6 EDGE 2.0 X</v>
      </c>
      <c r="C225" s="1" t="str">
        <f>T("PRIDE MOBILITY PRODUCTS CORP")</f>
        <v>PRIDE MOBILITY PRODUCTS CORP</v>
      </c>
      <c r="D225" s="1" t="str">
        <f>T("3S-SS")</f>
        <v>3S-SS</v>
      </c>
      <c r="E225" s="1" t="str">
        <f>T("K0848")</f>
        <v>K0848</v>
      </c>
      <c r="F225" s="1" t="str">
        <f>T("09/06/2017")</f>
        <v>09/06/2017</v>
      </c>
      <c r="G225" s="3"/>
      <c r="H225" s="1" t="s">
        <v>8</v>
      </c>
    </row>
    <row r="226" spans="1:8" x14ac:dyDescent="0.2">
      <c r="A226" s="1" t="s">
        <v>17</v>
      </c>
      <c r="B226" s="1" t="str">
        <f>T("M1")</f>
        <v>M1</v>
      </c>
      <c r="C226" s="1" t="str">
        <f>T("PERMOBIL INC")</f>
        <v>PERMOBIL INC</v>
      </c>
      <c r="D226" s="1" t="str">
        <f>T("NPO")</f>
        <v>NPO</v>
      </c>
      <c r="E226" s="1" t="str">
        <f>T("K0848")</f>
        <v>K0848</v>
      </c>
      <c r="F226" s="1" t="str">
        <f>T("09/13/2017")</f>
        <v>09/13/2017</v>
      </c>
      <c r="G226" s="3"/>
      <c r="H226" s="1" t="str">
        <f t="shared" ref="H226:H233" si="36">T("")</f>
        <v/>
      </c>
    </row>
    <row r="227" spans="1:8" x14ac:dyDescent="0.2">
      <c r="A227" s="1" t="s">
        <v>17</v>
      </c>
      <c r="B227" s="1" t="str">
        <f>T("INVACARE TDX SP2 POWER WHEELCHAIR")</f>
        <v>INVACARE TDX SP2 POWER WHEELCHAIR</v>
      </c>
      <c r="C227" s="1" t="str">
        <f>T("INVACARE CORP")</f>
        <v>INVACARE CORP</v>
      </c>
      <c r="D227" s="1" t="str">
        <f>T("TDXSP2")</f>
        <v>TDXSP2</v>
      </c>
      <c r="E227" s="1" t="str">
        <f>T("K0848")</f>
        <v>K0848</v>
      </c>
      <c r="F227" s="1" t="str">
        <f>T("09/22/2017")</f>
        <v>09/22/2017</v>
      </c>
      <c r="G227" s="3"/>
      <c r="H227" s="1" t="str">
        <f t="shared" si="36"/>
        <v/>
      </c>
    </row>
    <row r="228" spans="1:8" x14ac:dyDescent="0.2">
      <c r="A228" s="1" t="s">
        <v>17</v>
      </c>
      <c r="B228" s="1" t="str">
        <f>T("Q6 EDGE 2.0 X")</f>
        <v>Q6 EDGE 2.0 X</v>
      </c>
      <c r="C228" s="1" t="str">
        <f>T("PRIDE MOBILITY PRODUCTS CORP")</f>
        <v>PRIDE MOBILITY PRODUCTS CORP</v>
      </c>
      <c r="D228" s="1" t="str">
        <f>T("3S-C")</f>
        <v>3S-C</v>
      </c>
      <c r="E228" s="1" t="str">
        <f>T("K0849")</f>
        <v>K0849</v>
      </c>
      <c r="F228" s="1" t="str">
        <f>T("09/07/2017")</f>
        <v>09/07/2017</v>
      </c>
      <c r="G228" s="3"/>
      <c r="H228" s="1" t="str">
        <f t="shared" si="36"/>
        <v/>
      </c>
    </row>
    <row r="229" spans="1:8" x14ac:dyDescent="0.2">
      <c r="A229" s="1" t="s">
        <v>17</v>
      </c>
      <c r="B229" s="1" t="str">
        <f>T("Q6 EDGE 2.0 X")</f>
        <v>Q6 EDGE 2.0 X</v>
      </c>
      <c r="C229" s="1" t="str">
        <f>T("PRIDE MOBILITY PRODUCTS CORP")</f>
        <v>PRIDE MOBILITY PRODUCTS CORP</v>
      </c>
      <c r="D229" s="1" t="str">
        <f>T("3SP-SS")</f>
        <v>3SP-SS</v>
      </c>
      <c r="E229" s="1" t="str">
        <f>T("K0856")</f>
        <v>K0856</v>
      </c>
      <c r="F229" s="1" t="str">
        <f>T("09/07/2017")</f>
        <v>09/07/2017</v>
      </c>
      <c r="G229" s="3"/>
      <c r="H229" s="1" t="str">
        <f t="shared" si="36"/>
        <v/>
      </c>
    </row>
    <row r="230" spans="1:8" x14ac:dyDescent="0.2">
      <c r="A230" s="1" t="s">
        <v>17</v>
      </c>
      <c r="B230" s="1" t="str">
        <f>T("M1")</f>
        <v>M1</v>
      </c>
      <c r="C230" s="1" t="str">
        <f>T("PERMOBIL INC")</f>
        <v>PERMOBIL INC</v>
      </c>
      <c r="D230" s="1" t="str">
        <f>T("SPO")</f>
        <v>SPO</v>
      </c>
      <c r="E230" s="1" t="str">
        <f>T("K0856")</f>
        <v>K0856</v>
      </c>
      <c r="F230" s="1" t="str">
        <f>T("09/13/2017")</f>
        <v>09/13/2017</v>
      </c>
      <c r="G230" s="3"/>
      <c r="H230" s="1" t="str">
        <f t="shared" si="36"/>
        <v/>
      </c>
    </row>
    <row r="231" spans="1:8" x14ac:dyDescent="0.2">
      <c r="A231" s="1" t="s">
        <v>17</v>
      </c>
      <c r="B231" s="1" t="s">
        <v>121</v>
      </c>
      <c r="C231" s="1" t="s">
        <v>64</v>
      </c>
      <c r="D231" s="1" t="s">
        <v>65</v>
      </c>
      <c r="E231" s="1" t="s">
        <v>13</v>
      </c>
      <c r="F231" s="1" t="s">
        <v>26</v>
      </c>
      <c r="G231" s="3"/>
      <c r="H231" s="1" t="str">
        <f t="shared" si="36"/>
        <v/>
      </c>
    </row>
    <row r="232" spans="1:8" x14ac:dyDescent="0.2">
      <c r="A232" s="1" t="s">
        <v>17</v>
      </c>
      <c r="B232" s="1" t="str">
        <f>T("Q6 EDGE 2.0 X")</f>
        <v>Q6 EDGE 2.0 X</v>
      </c>
      <c r="C232" s="1" t="str">
        <f>T("PRIDE MOBILITY PRODUCTS CORP")</f>
        <v>PRIDE MOBILITY PRODUCTS CORP</v>
      </c>
      <c r="D232" s="1" t="str">
        <f>T("3SP-C")</f>
        <v>3SP-C</v>
      </c>
      <c r="E232" s="1" t="str">
        <f>T("K0857")</f>
        <v>K0857</v>
      </c>
      <c r="F232" s="1" t="str">
        <f>T("09/07/2017")</f>
        <v>09/07/2017</v>
      </c>
      <c r="G232" s="3"/>
      <c r="H232" s="1" t="str">
        <f t="shared" si="36"/>
        <v/>
      </c>
    </row>
    <row r="233" spans="1:8" x14ac:dyDescent="0.2">
      <c r="A233" s="1" t="s">
        <v>17</v>
      </c>
      <c r="B233" s="1" t="str">
        <f>T("VECTOR HD")</f>
        <v>VECTOR HD</v>
      </c>
      <c r="C233" s="1" t="str">
        <f>T("MERITS HEALTH PRODUCTS INC")</f>
        <v>MERITS HEALTH PRODUCTS INC</v>
      </c>
      <c r="D233" s="1" t="str">
        <f>T("P323-3HDS")</f>
        <v>P323-3HDS</v>
      </c>
      <c r="E233" s="1" t="str">
        <f>T("K0858")</f>
        <v>K0858</v>
      </c>
      <c r="F233" s="1" t="str">
        <f>T("09/27/2017")</f>
        <v>09/27/2017</v>
      </c>
      <c r="G233" s="3"/>
      <c r="H233" s="1" t="str">
        <f t="shared" si="36"/>
        <v/>
      </c>
    </row>
    <row r="234" spans="1:8" x14ac:dyDescent="0.2">
      <c r="A234" s="1" t="s">
        <v>17</v>
      </c>
      <c r="B234" s="1" t="str">
        <f>T("Q6 EDGE 2.0 X")</f>
        <v>Q6 EDGE 2.0 X</v>
      </c>
      <c r="C234" s="1" t="str">
        <f>T("PRIDE MOBILITY PRODUCTS CORP")</f>
        <v>PRIDE MOBILITY PRODUCTS CORP</v>
      </c>
      <c r="D234" s="1" t="str">
        <f>T("3MP-SS")</f>
        <v>3MP-SS</v>
      </c>
      <c r="E234" s="1" t="str">
        <f>T("K0861")</f>
        <v>K0861</v>
      </c>
      <c r="F234" s="1" t="str">
        <f>T("09/06/2017")</f>
        <v>09/06/2017</v>
      </c>
      <c r="G234" s="3"/>
      <c r="H234" s="1" t="s">
        <v>8</v>
      </c>
    </row>
    <row r="235" spans="1:8" x14ac:dyDescent="0.2">
      <c r="A235" s="1" t="s">
        <v>17</v>
      </c>
      <c r="B235" s="1" t="s">
        <v>121</v>
      </c>
      <c r="C235" s="1" t="s">
        <v>64</v>
      </c>
      <c r="D235" s="1" t="s">
        <v>66</v>
      </c>
      <c r="E235" s="1" t="s">
        <v>14</v>
      </c>
      <c r="F235" s="1" t="s">
        <v>26</v>
      </c>
      <c r="G235" s="3"/>
      <c r="H235" s="1" t="str">
        <f t="shared" ref="H235:H279" si="37">T("")</f>
        <v/>
      </c>
    </row>
    <row r="236" spans="1:8" x14ac:dyDescent="0.2">
      <c r="A236" s="1" t="s">
        <v>17</v>
      </c>
      <c r="B236" s="1" t="s">
        <v>122</v>
      </c>
      <c r="C236" s="1" t="s">
        <v>67</v>
      </c>
      <c r="D236" s="1" t="s">
        <v>68</v>
      </c>
      <c r="E236" s="1" t="s">
        <v>69</v>
      </c>
      <c r="F236" s="1" t="s">
        <v>26</v>
      </c>
      <c r="G236" s="3"/>
      <c r="H236" s="1" t="str">
        <f t="shared" si="37"/>
        <v/>
      </c>
    </row>
    <row r="237" spans="1:8" x14ac:dyDescent="0.2">
      <c r="A237" s="1" t="s">
        <v>17</v>
      </c>
      <c r="B237" s="1" t="str">
        <f>T("PANTHER")</f>
        <v>PANTHER</v>
      </c>
      <c r="C237" s="1" t="str">
        <f>T("BLUE DIAMOND ORTHOPEDIC")</f>
        <v>BLUE DIAMOND ORTHOPEDIC</v>
      </c>
      <c r="D237" s="1" t="str">
        <f>T("PANTHER-LP")</f>
        <v>PANTHER-LP</v>
      </c>
      <c r="E237" s="1" t="str">
        <f>T("L0627 OR L0642")</f>
        <v>L0627 OR L0642</v>
      </c>
      <c r="F237" s="1" t="str">
        <f>T("09/18/2017")</f>
        <v>09/18/2017</v>
      </c>
      <c r="G237" s="3"/>
      <c r="H237" s="1" t="str">
        <f t="shared" si="37"/>
        <v/>
      </c>
    </row>
    <row r="238" spans="1:8" x14ac:dyDescent="0.2">
      <c r="A238" s="1" t="s">
        <v>17</v>
      </c>
      <c r="B238" s="1" t="str">
        <f>T("PATELLA RELIEVER SIZE 1 RIGHT")</f>
        <v>PATELLA RELIEVER SIZE 1 RIGHT</v>
      </c>
      <c r="C238" s="1" t="str">
        <f t="shared" ref="C238:C249" si="38">T("THUASNE / TOWNSEND DESIGN")</f>
        <v>THUASNE / TOWNSEND DESIGN</v>
      </c>
      <c r="D238" s="1" t="str">
        <f>T("23480120100101")</f>
        <v>23480120100101</v>
      </c>
      <c r="E238" s="1" t="str">
        <f t="shared" ref="E238:E249" si="39">T("L1810 OR L1812")</f>
        <v>L1810 OR L1812</v>
      </c>
      <c r="F238" s="1" t="str">
        <f t="shared" ref="F238:F249" si="40">T("09/28/2017")</f>
        <v>09/28/2017</v>
      </c>
      <c r="G238" s="3"/>
      <c r="H238" s="1" t="str">
        <f t="shared" si="37"/>
        <v/>
      </c>
    </row>
    <row r="239" spans="1:8" x14ac:dyDescent="0.2">
      <c r="A239" s="1" t="s">
        <v>17</v>
      </c>
      <c r="B239" s="1" t="str">
        <f>T("PATELLA RELIEVER SIZE 2 RIGHT")</f>
        <v>PATELLA RELIEVER SIZE 2 RIGHT</v>
      </c>
      <c r="C239" s="1" t="str">
        <f t="shared" si="38"/>
        <v>THUASNE / TOWNSEND DESIGN</v>
      </c>
      <c r="D239" s="1" t="str">
        <f>T("23480120200101")</f>
        <v>23480120200101</v>
      </c>
      <c r="E239" s="1" t="str">
        <f t="shared" si="39"/>
        <v>L1810 OR L1812</v>
      </c>
      <c r="F239" s="1" t="str">
        <f t="shared" si="40"/>
        <v>09/28/2017</v>
      </c>
      <c r="G239" s="3"/>
      <c r="H239" s="1" t="str">
        <f t="shared" si="37"/>
        <v/>
      </c>
    </row>
    <row r="240" spans="1:8" x14ac:dyDescent="0.2">
      <c r="A240" s="1" t="s">
        <v>17</v>
      </c>
      <c r="B240" s="1" t="str">
        <f>T("PATELLA RELIEVER SIZE 3 RIGHT")</f>
        <v>PATELLA RELIEVER SIZE 3 RIGHT</v>
      </c>
      <c r="C240" s="1" t="str">
        <f t="shared" si="38"/>
        <v>THUASNE / TOWNSEND DESIGN</v>
      </c>
      <c r="D240" s="1" t="str">
        <f>T("23480120300101")</f>
        <v>23480120300101</v>
      </c>
      <c r="E240" s="1" t="str">
        <f t="shared" si="39"/>
        <v>L1810 OR L1812</v>
      </c>
      <c r="F240" s="1" t="str">
        <f t="shared" si="40"/>
        <v>09/28/2017</v>
      </c>
      <c r="G240" s="3"/>
      <c r="H240" s="1" t="str">
        <f t="shared" si="37"/>
        <v/>
      </c>
    </row>
    <row r="241" spans="1:8" x14ac:dyDescent="0.2">
      <c r="A241" s="1" t="s">
        <v>17</v>
      </c>
      <c r="B241" s="1" t="str">
        <f>T("PATELLA RELIEVER SIZE 4 RIGHT")</f>
        <v>PATELLA RELIEVER SIZE 4 RIGHT</v>
      </c>
      <c r="C241" s="1" t="str">
        <f t="shared" si="38"/>
        <v>THUASNE / TOWNSEND DESIGN</v>
      </c>
      <c r="D241" s="1" t="str">
        <f>T("23480120400101")</f>
        <v>23480120400101</v>
      </c>
      <c r="E241" s="1" t="str">
        <f t="shared" si="39"/>
        <v>L1810 OR L1812</v>
      </c>
      <c r="F241" s="1" t="str">
        <f t="shared" si="40"/>
        <v>09/28/2017</v>
      </c>
      <c r="G241" s="3"/>
      <c r="H241" s="1" t="str">
        <f t="shared" si="37"/>
        <v/>
      </c>
    </row>
    <row r="242" spans="1:8" x14ac:dyDescent="0.2">
      <c r="A242" s="1" t="s">
        <v>17</v>
      </c>
      <c r="B242" s="1" t="str">
        <f>T("PATELLA RELIEVER SIZE 5 RIGHT")</f>
        <v>PATELLA RELIEVER SIZE 5 RIGHT</v>
      </c>
      <c r="C242" s="1" t="str">
        <f t="shared" si="38"/>
        <v>THUASNE / TOWNSEND DESIGN</v>
      </c>
      <c r="D242" s="1" t="str">
        <f>T("23480120500101")</f>
        <v>23480120500101</v>
      </c>
      <c r="E242" s="1" t="str">
        <f t="shared" si="39"/>
        <v>L1810 OR L1812</v>
      </c>
      <c r="F242" s="1" t="str">
        <f t="shared" si="40"/>
        <v>09/28/2017</v>
      </c>
      <c r="G242" s="3"/>
      <c r="H242" s="1" t="str">
        <f t="shared" si="37"/>
        <v/>
      </c>
    </row>
    <row r="243" spans="1:8" x14ac:dyDescent="0.2">
      <c r="A243" s="1" t="s">
        <v>17</v>
      </c>
      <c r="B243" s="1" t="str">
        <f>T("PATELLA RELIEVER SIZE 6 RIGHT")</f>
        <v>PATELLA RELIEVER SIZE 6 RIGHT</v>
      </c>
      <c r="C243" s="1" t="str">
        <f t="shared" si="38"/>
        <v>THUASNE / TOWNSEND DESIGN</v>
      </c>
      <c r="D243" s="1" t="str">
        <f>T("23480120600101")</f>
        <v>23480120600101</v>
      </c>
      <c r="E243" s="1" t="str">
        <f t="shared" si="39"/>
        <v>L1810 OR L1812</v>
      </c>
      <c r="F243" s="1" t="str">
        <f t="shared" si="40"/>
        <v>09/28/2017</v>
      </c>
      <c r="G243" s="3"/>
      <c r="H243" s="1" t="str">
        <f t="shared" si="37"/>
        <v/>
      </c>
    </row>
    <row r="244" spans="1:8" x14ac:dyDescent="0.2">
      <c r="A244" s="1" t="s">
        <v>17</v>
      </c>
      <c r="B244" s="1" t="str">
        <f>T("PATELLA RELIEVER SIZE 1 LEFT")</f>
        <v>PATELLA RELIEVER SIZE 1 LEFT</v>
      </c>
      <c r="C244" s="1" t="str">
        <f t="shared" si="38"/>
        <v>THUASNE / TOWNSEND DESIGN</v>
      </c>
      <c r="D244" s="1" t="str">
        <f>T("23480120100102")</f>
        <v>23480120100102</v>
      </c>
      <c r="E244" s="1" t="str">
        <f t="shared" si="39"/>
        <v>L1810 OR L1812</v>
      </c>
      <c r="F244" s="1" t="str">
        <f t="shared" si="40"/>
        <v>09/28/2017</v>
      </c>
      <c r="G244" s="3"/>
      <c r="H244" s="1" t="str">
        <f t="shared" si="37"/>
        <v/>
      </c>
    </row>
    <row r="245" spans="1:8" x14ac:dyDescent="0.2">
      <c r="A245" s="1" t="s">
        <v>17</v>
      </c>
      <c r="B245" s="1" t="str">
        <f>T("PATELLA RELIEVER SIZE 2 LEFT")</f>
        <v>PATELLA RELIEVER SIZE 2 LEFT</v>
      </c>
      <c r="C245" s="1" t="str">
        <f t="shared" si="38"/>
        <v>THUASNE / TOWNSEND DESIGN</v>
      </c>
      <c r="D245" s="1" t="str">
        <f>T("23480120200102")</f>
        <v>23480120200102</v>
      </c>
      <c r="E245" s="1" t="str">
        <f t="shared" si="39"/>
        <v>L1810 OR L1812</v>
      </c>
      <c r="F245" s="1" t="str">
        <f t="shared" si="40"/>
        <v>09/28/2017</v>
      </c>
      <c r="G245" s="3"/>
      <c r="H245" s="1" t="str">
        <f t="shared" si="37"/>
        <v/>
      </c>
    </row>
    <row r="246" spans="1:8" x14ac:dyDescent="0.2">
      <c r="A246" s="1" t="s">
        <v>17</v>
      </c>
      <c r="B246" s="1" t="str">
        <f>T("PATELLA RELIEVER SIZE 3 LEFT")</f>
        <v>PATELLA RELIEVER SIZE 3 LEFT</v>
      </c>
      <c r="C246" s="1" t="str">
        <f t="shared" si="38"/>
        <v>THUASNE / TOWNSEND DESIGN</v>
      </c>
      <c r="D246" s="1" t="str">
        <f>T("23480120300102")</f>
        <v>23480120300102</v>
      </c>
      <c r="E246" s="1" t="str">
        <f t="shared" si="39"/>
        <v>L1810 OR L1812</v>
      </c>
      <c r="F246" s="1" t="str">
        <f t="shared" si="40"/>
        <v>09/28/2017</v>
      </c>
      <c r="G246" s="3"/>
      <c r="H246" s="1" t="str">
        <f t="shared" si="37"/>
        <v/>
      </c>
    </row>
    <row r="247" spans="1:8" x14ac:dyDescent="0.2">
      <c r="A247" s="1" t="s">
        <v>17</v>
      </c>
      <c r="B247" s="1" t="str">
        <f>T("PATELLA RELIEVER SIZE 4 LEFT")</f>
        <v>PATELLA RELIEVER SIZE 4 LEFT</v>
      </c>
      <c r="C247" s="1" t="str">
        <f t="shared" si="38"/>
        <v>THUASNE / TOWNSEND DESIGN</v>
      </c>
      <c r="D247" s="1" t="str">
        <f>T("23480120400102")</f>
        <v>23480120400102</v>
      </c>
      <c r="E247" s="1" t="str">
        <f t="shared" si="39"/>
        <v>L1810 OR L1812</v>
      </c>
      <c r="F247" s="1" t="str">
        <f t="shared" si="40"/>
        <v>09/28/2017</v>
      </c>
      <c r="G247" s="3"/>
      <c r="H247" s="1" t="str">
        <f t="shared" si="37"/>
        <v/>
      </c>
    </row>
    <row r="248" spans="1:8" x14ac:dyDescent="0.2">
      <c r="A248" s="1" t="s">
        <v>17</v>
      </c>
      <c r="B248" s="1" t="str">
        <f>T("PATELLA RELIEVER SIZE 5 LEFT")</f>
        <v>PATELLA RELIEVER SIZE 5 LEFT</v>
      </c>
      <c r="C248" s="1" t="str">
        <f t="shared" si="38"/>
        <v>THUASNE / TOWNSEND DESIGN</v>
      </c>
      <c r="D248" s="1" t="str">
        <f>T("23480120500102")</f>
        <v>23480120500102</v>
      </c>
      <c r="E248" s="1" t="str">
        <f t="shared" si="39"/>
        <v>L1810 OR L1812</v>
      </c>
      <c r="F248" s="1" t="str">
        <f t="shared" si="40"/>
        <v>09/28/2017</v>
      </c>
      <c r="G248" s="3"/>
      <c r="H248" s="1" t="str">
        <f t="shared" si="37"/>
        <v/>
      </c>
    </row>
    <row r="249" spans="1:8" x14ac:dyDescent="0.2">
      <c r="A249" s="1" t="s">
        <v>17</v>
      </c>
      <c r="B249" s="1" t="str">
        <f>T("PATELLA RELIEVER SIZE 6 LEFT")</f>
        <v>PATELLA RELIEVER SIZE 6 LEFT</v>
      </c>
      <c r="C249" s="1" t="str">
        <f t="shared" si="38"/>
        <v>THUASNE / TOWNSEND DESIGN</v>
      </c>
      <c r="D249" s="1" t="str">
        <f>T("23480120600102")</f>
        <v>23480120600102</v>
      </c>
      <c r="E249" s="1" t="str">
        <f t="shared" si="39"/>
        <v>L1810 OR L1812</v>
      </c>
      <c r="F249" s="1" t="str">
        <f t="shared" si="40"/>
        <v>09/28/2017</v>
      </c>
      <c r="G249" s="3"/>
      <c r="H249" s="1" t="str">
        <f t="shared" si="37"/>
        <v/>
      </c>
    </row>
    <row r="250" spans="1:8" x14ac:dyDescent="0.2">
      <c r="A250" s="1" t="s">
        <v>17</v>
      </c>
      <c r="B250" s="1" t="str">
        <f>T("AIRPRENE HINGED WRAP-AROUND KNEE BRACE - SMALL")</f>
        <v>AIRPRENE HINGED WRAP-AROUND KNEE BRACE - SMALL</v>
      </c>
      <c r="C250" s="1" t="str">
        <f>T("ADVANCED ORTHOPAEDICS INC")</f>
        <v>ADVANCED ORTHOPAEDICS INC</v>
      </c>
      <c r="D250" s="1" t="str">
        <f>T("603-AP")</f>
        <v>603-AP</v>
      </c>
      <c r="E250" s="1" t="str">
        <f>T("L1820")</f>
        <v>L1820</v>
      </c>
      <c r="F250" s="1" t="str">
        <f>T("09/01/2017")</f>
        <v>09/01/2017</v>
      </c>
      <c r="G250" s="3"/>
      <c r="H250" s="1" t="str">
        <f t="shared" si="37"/>
        <v/>
      </c>
    </row>
    <row r="251" spans="1:8" x14ac:dyDescent="0.2">
      <c r="A251" s="1" t="s">
        <v>17</v>
      </c>
      <c r="B251" s="1" t="str">
        <f>T("AIRPRENE HINGED WRAP-AROUND KNEE BRACE - MEDIUM")</f>
        <v>AIRPRENE HINGED WRAP-AROUND KNEE BRACE - MEDIUM</v>
      </c>
      <c r="C251" s="1" t="str">
        <f>T("ADVANCED ORTHOPAEDICS INC")</f>
        <v>ADVANCED ORTHOPAEDICS INC</v>
      </c>
      <c r="D251" s="1" t="str">
        <f>T("605-AP")</f>
        <v>605-AP</v>
      </c>
      <c r="E251" s="1" t="str">
        <f>T("L1820")</f>
        <v>L1820</v>
      </c>
      <c r="F251" s="1" t="str">
        <f>T("09/01/2017")</f>
        <v>09/01/2017</v>
      </c>
      <c r="G251" s="3"/>
      <c r="H251" s="1" t="str">
        <f t="shared" si="37"/>
        <v/>
      </c>
    </row>
    <row r="252" spans="1:8" ht="15" customHeight="1" x14ac:dyDescent="0.2">
      <c r="A252" s="1" t="s">
        <v>17</v>
      </c>
      <c r="B252" s="1" t="str">
        <f>T("AIRPRENE HINGED WRAP-AROUND KNEE BRACE - LARGE")</f>
        <v>AIRPRENE HINGED WRAP-AROUND KNEE BRACE - LARGE</v>
      </c>
      <c r="C252" s="1" t="str">
        <f>T("ADVANCED ORTHOPAEDICS INC")</f>
        <v>ADVANCED ORTHOPAEDICS INC</v>
      </c>
      <c r="D252" s="1" t="str">
        <f>T("607-AP")</f>
        <v>607-AP</v>
      </c>
      <c r="E252" s="1" t="str">
        <f>T("L1820")</f>
        <v>L1820</v>
      </c>
      <c r="F252" s="1" t="str">
        <f>T("09/01/2017")</f>
        <v>09/01/2017</v>
      </c>
      <c r="G252" s="3"/>
      <c r="H252" s="1" t="str">
        <f t="shared" si="37"/>
        <v/>
      </c>
    </row>
    <row r="253" spans="1:8" ht="15" customHeight="1" x14ac:dyDescent="0.2">
      <c r="A253" s="1" t="s">
        <v>17</v>
      </c>
      <c r="B253" s="1" t="str">
        <f>T("AIRPRENE HINGED WRAP-AROUND KNEE BRACE - XLARGE")</f>
        <v>AIRPRENE HINGED WRAP-AROUND KNEE BRACE - XLARGE</v>
      </c>
      <c r="C253" s="1" t="str">
        <f>T("ADVANCED ORTHOPAEDICS INC")</f>
        <v>ADVANCED ORTHOPAEDICS INC</v>
      </c>
      <c r="D253" s="1" t="str">
        <f>T("608-AP")</f>
        <v>608-AP</v>
      </c>
      <c r="E253" s="1" t="str">
        <f>T("L1820")</f>
        <v>L1820</v>
      </c>
      <c r="F253" s="1" t="str">
        <f>T("09/01/2017")</f>
        <v>09/01/2017</v>
      </c>
      <c r="G253" s="3"/>
      <c r="H253" s="1" t="str">
        <f t="shared" si="37"/>
        <v/>
      </c>
    </row>
    <row r="254" spans="1:8" ht="15" customHeight="1" x14ac:dyDescent="0.2">
      <c r="A254" s="1" t="s">
        <v>17</v>
      </c>
      <c r="B254" s="1" t="str">
        <f>T("AIRPRENE HINGED WRAP-AROUND KNEE BRACE - 2XLARGE")</f>
        <v>AIRPRENE HINGED WRAP-AROUND KNEE BRACE - 2XLARGE</v>
      </c>
      <c r="C254" s="1" t="str">
        <f>T("ADVANCED ORTHOPAEDICS INC")</f>
        <v>ADVANCED ORTHOPAEDICS INC</v>
      </c>
      <c r="D254" s="1" t="str">
        <f>T("609-AP")</f>
        <v>609-AP</v>
      </c>
      <c r="E254" s="1" t="str">
        <f>T("L1820")</f>
        <v>L1820</v>
      </c>
      <c r="F254" s="1" t="str">
        <f>T("09/01/2017")</f>
        <v>09/01/2017</v>
      </c>
      <c r="G254" s="3"/>
      <c r="H254" s="1" t="str">
        <f t="shared" si="37"/>
        <v/>
      </c>
    </row>
    <row r="255" spans="1:8" ht="15" customHeight="1" x14ac:dyDescent="0.2">
      <c r="A255" s="1" t="s">
        <v>17</v>
      </c>
      <c r="B255" s="1" t="str">
        <f>T("PL-43 OA KNEE BRACE")</f>
        <v>PL-43 OA KNEE BRACE</v>
      </c>
      <c r="C255" s="1" t="str">
        <f>T("PROLINE BRACING LLC")</f>
        <v>PROLINE BRACING LLC</v>
      </c>
      <c r="D255" s="1" t="str">
        <f>T("PL-43-L")</f>
        <v>PL-43-L</v>
      </c>
      <c r="E255" s="1" t="str">
        <f>T("L1843 OR L1851")</f>
        <v>L1843 OR L1851</v>
      </c>
      <c r="F255" s="1" t="str">
        <f>T("09/05/2017")</f>
        <v>09/05/2017</v>
      </c>
      <c r="G255" s="3"/>
      <c r="H255" s="1" t="str">
        <f t="shared" si="37"/>
        <v/>
      </c>
    </row>
    <row r="256" spans="1:8" ht="15" customHeight="1" x14ac:dyDescent="0.2">
      <c r="A256" s="1" t="s">
        <v>17</v>
      </c>
      <c r="B256" s="1" t="str">
        <f>T("PL-43 OA KNEE BRACE")</f>
        <v>PL-43 OA KNEE BRACE</v>
      </c>
      <c r="C256" s="1" t="str">
        <f>T("PROLINE BRACING LLC")</f>
        <v>PROLINE BRACING LLC</v>
      </c>
      <c r="D256" s="1" t="str">
        <f>T("PL-43-R")</f>
        <v>PL-43-R</v>
      </c>
      <c r="E256" s="1" t="str">
        <f>T("L1843 OR L1851")</f>
        <v>L1843 OR L1851</v>
      </c>
      <c r="F256" s="1" t="str">
        <f>T("09/05/2017")</f>
        <v>09/05/2017</v>
      </c>
      <c r="G256" s="3"/>
      <c r="H256" s="1" t="str">
        <f t="shared" si="37"/>
        <v/>
      </c>
    </row>
    <row r="257" spans="1:8" ht="15" customHeight="1" x14ac:dyDescent="0.2">
      <c r="A257" s="1" t="s">
        <v>17</v>
      </c>
      <c r="B257" s="1" t="str">
        <f>T("POD ANKLE BRACE")</f>
        <v>POD ANKLE BRACE</v>
      </c>
      <c r="C257" s="1" t="str">
        <f>T("DJO GLOBAL INC")</f>
        <v>DJO GLOBAL INC</v>
      </c>
      <c r="D257" s="1" t="str">
        <f>T("DP151AB05")</f>
        <v>DP151AB05</v>
      </c>
      <c r="E257" s="1" t="str">
        <f>T("L1902")</f>
        <v>L1902</v>
      </c>
      <c r="F257" s="1" t="str">
        <f>T("09/22/2017")</f>
        <v>09/22/2017</v>
      </c>
      <c r="G257" s="3"/>
      <c r="H257" s="1" t="str">
        <f t="shared" si="37"/>
        <v/>
      </c>
    </row>
    <row r="258" spans="1:8" ht="15" customHeight="1" x14ac:dyDescent="0.2">
      <c r="A258" s="1" t="s">
        <v>17</v>
      </c>
      <c r="B258" s="1" t="str">
        <f>T("ANKLE FOOT ORTHOSIS (AFO) LEFT - SMALL")</f>
        <v>ANKLE FOOT ORTHOSIS (AFO) LEFT - SMALL</v>
      </c>
      <c r="C258" s="1" t="str">
        <f t="shared" ref="C258:C265" si="41">T("ADVANCED ORTHOPAEDICS INC")</f>
        <v>ADVANCED ORTHOPAEDICS INC</v>
      </c>
      <c r="D258" s="1" t="str">
        <f>T("7023")</f>
        <v>7023</v>
      </c>
      <c r="E258" s="1" t="str">
        <f t="shared" ref="E258:E265" si="42">T("L1930")</f>
        <v>L1930</v>
      </c>
      <c r="F258" s="1" t="str">
        <f t="shared" ref="F258:F265" si="43">T("09/13/2017")</f>
        <v>09/13/2017</v>
      </c>
      <c r="G258" s="3"/>
      <c r="H258" s="1" t="str">
        <f t="shared" si="37"/>
        <v/>
      </c>
    </row>
    <row r="259" spans="1:8" ht="15" customHeight="1" x14ac:dyDescent="0.2">
      <c r="A259" s="1" t="s">
        <v>17</v>
      </c>
      <c r="B259" s="1" t="str">
        <f>T("ANKLE FOOT ORTHOSIS (AFO) LEFT - MEDIUM")</f>
        <v>ANKLE FOOT ORTHOSIS (AFO) LEFT - MEDIUM</v>
      </c>
      <c r="C259" s="1" t="str">
        <f t="shared" si="41"/>
        <v>ADVANCED ORTHOPAEDICS INC</v>
      </c>
      <c r="D259" s="1" t="str">
        <f>T("7025")</f>
        <v>7025</v>
      </c>
      <c r="E259" s="1" t="str">
        <f t="shared" si="42"/>
        <v>L1930</v>
      </c>
      <c r="F259" s="1" t="str">
        <f t="shared" si="43"/>
        <v>09/13/2017</v>
      </c>
      <c r="G259" s="3"/>
      <c r="H259" s="1" t="str">
        <f t="shared" si="37"/>
        <v/>
      </c>
    </row>
    <row r="260" spans="1:8" x14ac:dyDescent="0.2">
      <c r="A260" s="1" t="s">
        <v>17</v>
      </c>
      <c r="B260" s="1" t="str">
        <f>T("ANKLE FOOT ORTHOSIS (AFO) LEFT - LARGE")</f>
        <v>ANKLE FOOT ORTHOSIS (AFO) LEFT - LARGE</v>
      </c>
      <c r="C260" s="1" t="str">
        <f t="shared" si="41"/>
        <v>ADVANCED ORTHOPAEDICS INC</v>
      </c>
      <c r="D260" s="1" t="str">
        <f>T("7027")</f>
        <v>7027</v>
      </c>
      <c r="E260" s="1" t="str">
        <f t="shared" si="42"/>
        <v>L1930</v>
      </c>
      <c r="F260" s="1" t="str">
        <f t="shared" si="43"/>
        <v>09/13/2017</v>
      </c>
      <c r="G260" s="3"/>
      <c r="H260" s="1" t="str">
        <f t="shared" si="37"/>
        <v/>
      </c>
    </row>
    <row r="261" spans="1:8" x14ac:dyDescent="0.2">
      <c r="A261" s="1" t="s">
        <v>17</v>
      </c>
      <c r="B261" s="1" t="str">
        <f>T("ANKLE FOOT ORTHOSIS (AFO) LEFT - X LARGE")</f>
        <v>ANKLE FOOT ORTHOSIS (AFO) LEFT - X LARGE</v>
      </c>
      <c r="C261" s="1" t="str">
        <f t="shared" si="41"/>
        <v>ADVANCED ORTHOPAEDICS INC</v>
      </c>
      <c r="D261" s="1" t="str">
        <f>T("7028")</f>
        <v>7028</v>
      </c>
      <c r="E261" s="1" t="str">
        <f t="shared" si="42"/>
        <v>L1930</v>
      </c>
      <c r="F261" s="1" t="str">
        <f t="shared" si="43"/>
        <v>09/13/2017</v>
      </c>
      <c r="G261" s="3"/>
      <c r="H261" s="1" t="str">
        <f t="shared" si="37"/>
        <v/>
      </c>
    </row>
    <row r="262" spans="1:8" x14ac:dyDescent="0.2">
      <c r="A262" s="1" t="s">
        <v>17</v>
      </c>
      <c r="B262" s="1" t="str">
        <f>T("ANKLE FOOT ORTHOSIS (AFO) RIGHT - SMALL")</f>
        <v>ANKLE FOOT ORTHOSIS (AFO) RIGHT - SMALL</v>
      </c>
      <c r="C262" s="1" t="str">
        <f t="shared" si="41"/>
        <v>ADVANCED ORTHOPAEDICS INC</v>
      </c>
      <c r="D262" s="1" t="str">
        <f>T("7013")</f>
        <v>7013</v>
      </c>
      <c r="E262" s="1" t="str">
        <f t="shared" si="42"/>
        <v>L1930</v>
      </c>
      <c r="F262" s="1" t="str">
        <f t="shared" si="43"/>
        <v>09/13/2017</v>
      </c>
      <c r="G262" s="3"/>
      <c r="H262" s="1" t="str">
        <f t="shared" si="37"/>
        <v/>
      </c>
    </row>
    <row r="263" spans="1:8" x14ac:dyDescent="0.2">
      <c r="A263" s="1" t="s">
        <v>17</v>
      </c>
      <c r="B263" s="1" t="str">
        <f>T("ANKLE FOOT ORTHOSIS (AFO) RIGHT - MEDIUM")</f>
        <v>ANKLE FOOT ORTHOSIS (AFO) RIGHT - MEDIUM</v>
      </c>
      <c r="C263" s="1" t="str">
        <f t="shared" si="41"/>
        <v>ADVANCED ORTHOPAEDICS INC</v>
      </c>
      <c r="D263" s="1" t="str">
        <f>T("7015")</f>
        <v>7015</v>
      </c>
      <c r="E263" s="1" t="str">
        <f t="shared" si="42"/>
        <v>L1930</v>
      </c>
      <c r="F263" s="1" t="str">
        <f t="shared" si="43"/>
        <v>09/13/2017</v>
      </c>
      <c r="G263" s="3"/>
      <c r="H263" s="1" t="str">
        <f t="shared" si="37"/>
        <v/>
      </c>
    </row>
    <row r="264" spans="1:8" x14ac:dyDescent="0.2">
      <c r="A264" s="1" t="s">
        <v>17</v>
      </c>
      <c r="B264" s="1" t="str">
        <f>T("ANKLE FOOT ORTHOSIS (AFO) RIGHT - LARGE")</f>
        <v>ANKLE FOOT ORTHOSIS (AFO) RIGHT - LARGE</v>
      </c>
      <c r="C264" s="1" t="str">
        <f t="shared" si="41"/>
        <v>ADVANCED ORTHOPAEDICS INC</v>
      </c>
      <c r="D264" s="1" t="str">
        <f>T("7017")</f>
        <v>7017</v>
      </c>
      <c r="E264" s="1" t="str">
        <f t="shared" si="42"/>
        <v>L1930</v>
      </c>
      <c r="F264" s="1" t="str">
        <f t="shared" si="43"/>
        <v>09/13/2017</v>
      </c>
      <c r="G264" s="3"/>
      <c r="H264" s="1" t="str">
        <f t="shared" si="37"/>
        <v/>
      </c>
    </row>
    <row r="265" spans="1:8" x14ac:dyDescent="0.2">
      <c r="A265" s="1" t="s">
        <v>17</v>
      </c>
      <c r="B265" s="1" t="str">
        <f>T("ANKLE FOOT ORTHOSIS (AFO) RIGHT - X LARGE")</f>
        <v>ANKLE FOOT ORTHOSIS (AFO) RIGHT - X LARGE</v>
      </c>
      <c r="C265" s="1" t="str">
        <f t="shared" si="41"/>
        <v>ADVANCED ORTHOPAEDICS INC</v>
      </c>
      <c r="D265" s="1" t="str">
        <f>T("7018")</f>
        <v>7018</v>
      </c>
      <c r="E265" s="1" t="str">
        <f t="shared" si="42"/>
        <v>L1930</v>
      </c>
      <c r="F265" s="1" t="str">
        <f t="shared" si="43"/>
        <v>09/13/2017</v>
      </c>
      <c r="G265" s="3"/>
      <c r="H265" s="1" t="str">
        <f t="shared" si="37"/>
        <v/>
      </c>
    </row>
    <row r="266" spans="1:8" x14ac:dyDescent="0.2">
      <c r="A266" s="1" t="s">
        <v>17</v>
      </c>
      <c r="B266" s="1" t="str">
        <f>T("SPRYSTEP PLUS (XSM) LEFT")</f>
        <v>SPRYSTEP PLUS (XSM) LEFT</v>
      </c>
      <c r="C266" s="1" t="str">
        <f t="shared" ref="C266:C275" si="44">T("TOWNSEND DESIGN")</f>
        <v>TOWNSEND DESIGN</v>
      </c>
      <c r="D266" s="1" t="str">
        <f>T("17H1014")</f>
        <v>17H1014</v>
      </c>
      <c r="E266" s="1" t="str">
        <f t="shared" ref="E266:E275" si="45">T("L1932")</f>
        <v>L1932</v>
      </c>
      <c r="F266" s="1" t="str">
        <f t="shared" ref="F266:F275" si="46">T("09/26/2017")</f>
        <v>09/26/2017</v>
      </c>
      <c r="G266" s="3"/>
      <c r="H266" s="1" t="str">
        <f t="shared" si="37"/>
        <v/>
      </c>
    </row>
    <row r="267" spans="1:8" x14ac:dyDescent="0.2">
      <c r="A267" s="1" t="s">
        <v>17</v>
      </c>
      <c r="B267" s="1" t="str">
        <f>T("SPRYSTEP PLUS (SM) LEFT")</f>
        <v>SPRYSTEP PLUS (SM) LEFT</v>
      </c>
      <c r="C267" s="1" t="str">
        <f t="shared" si="44"/>
        <v>TOWNSEND DESIGN</v>
      </c>
      <c r="D267" s="1" t="str">
        <f>T("17H1010")</f>
        <v>17H1010</v>
      </c>
      <c r="E267" s="1" t="str">
        <f t="shared" si="45"/>
        <v>L1932</v>
      </c>
      <c r="F267" s="1" t="str">
        <f t="shared" si="46"/>
        <v>09/26/2017</v>
      </c>
      <c r="G267" s="3"/>
      <c r="H267" s="1" t="str">
        <f t="shared" si="37"/>
        <v/>
      </c>
    </row>
    <row r="268" spans="1:8" x14ac:dyDescent="0.2">
      <c r="A268" s="1" t="s">
        <v>17</v>
      </c>
      <c r="B268" s="1" t="str">
        <f>T("SPRYSTEP PLUS (MD) LEFT")</f>
        <v>SPRYSTEP PLUS (MD) LEFT</v>
      </c>
      <c r="C268" s="1" t="str">
        <f t="shared" si="44"/>
        <v>TOWNSEND DESIGN</v>
      </c>
      <c r="D268" s="1" t="str">
        <f>T("17H1011")</f>
        <v>17H1011</v>
      </c>
      <c r="E268" s="1" t="str">
        <f t="shared" si="45"/>
        <v>L1932</v>
      </c>
      <c r="F268" s="1" t="str">
        <f t="shared" si="46"/>
        <v>09/26/2017</v>
      </c>
      <c r="G268" s="3"/>
      <c r="H268" s="1" t="str">
        <f t="shared" si="37"/>
        <v/>
      </c>
    </row>
    <row r="269" spans="1:8" x14ac:dyDescent="0.2">
      <c r="A269" s="1" t="s">
        <v>17</v>
      </c>
      <c r="B269" s="1" t="str">
        <f>T("SPRYSTEP PLUS (LG) LEFT")</f>
        <v>SPRYSTEP PLUS (LG) LEFT</v>
      </c>
      <c r="C269" s="1" t="str">
        <f t="shared" si="44"/>
        <v>TOWNSEND DESIGN</v>
      </c>
      <c r="D269" s="1" t="str">
        <f>T("17H1012")</f>
        <v>17H1012</v>
      </c>
      <c r="E269" s="1" t="str">
        <f t="shared" si="45"/>
        <v>L1932</v>
      </c>
      <c r="F269" s="1" t="str">
        <f t="shared" si="46"/>
        <v>09/26/2017</v>
      </c>
      <c r="G269" s="3"/>
      <c r="H269" s="1" t="str">
        <f t="shared" si="37"/>
        <v/>
      </c>
    </row>
    <row r="270" spans="1:8" x14ac:dyDescent="0.2">
      <c r="A270" s="1" t="s">
        <v>17</v>
      </c>
      <c r="B270" s="1" t="str">
        <f>T("SPRYSTEP PLUS (XLG) LEFT")</f>
        <v>SPRYSTEP PLUS (XLG) LEFT</v>
      </c>
      <c r="C270" s="1" t="str">
        <f t="shared" si="44"/>
        <v>TOWNSEND DESIGN</v>
      </c>
      <c r="D270" s="1" t="str">
        <f>T("17H1013")</f>
        <v>17H1013</v>
      </c>
      <c r="E270" s="1" t="str">
        <f t="shared" si="45"/>
        <v>L1932</v>
      </c>
      <c r="F270" s="1" t="str">
        <f t="shared" si="46"/>
        <v>09/26/2017</v>
      </c>
      <c r="G270" s="3"/>
      <c r="H270" s="1" t="str">
        <f t="shared" si="37"/>
        <v/>
      </c>
    </row>
    <row r="271" spans="1:8" x14ac:dyDescent="0.2">
      <c r="A271" s="1" t="s">
        <v>17</v>
      </c>
      <c r="B271" s="1" t="str">
        <f>T("SPRYSTEP PLUS (XSM) RIGHT")</f>
        <v>SPRYSTEP PLUS (XSM) RIGHT</v>
      </c>
      <c r="C271" s="1" t="str">
        <f t="shared" si="44"/>
        <v>TOWNSEND DESIGN</v>
      </c>
      <c r="D271" s="1" t="str">
        <f>T("17H2014")</f>
        <v>17H2014</v>
      </c>
      <c r="E271" s="1" t="str">
        <f t="shared" si="45"/>
        <v>L1932</v>
      </c>
      <c r="F271" s="1" t="str">
        <f t="shared" si="46"/>
        <v>09/26/2017</v>
      </c>
      <c r="G271" s="3"/>
      <c r="H271" s="1" t="str">
        <f t="shared" si="37"/>
        <v/>
      </c>
    </row>
    <row r="272" spans="1:8" x14ac:dyDescent="0.2">
      <c r="A272" s="1" t="s">
        <v>17</v>
      </c>
      <c r="B272" s="1" t="str">
        <f>T("SPRYSTEP PLUS (SM) RIGHT")</f>
        <v>SPRYSTEP PLUS (SM) RIGHT</v>
      </c>
      <c r="C272" s="1" t="str">
        <f t="shared" si="44"/>
        <v>TOWNSEND DESIGN</v>
      </c>
      <c r="D272" s="1" t="str">
        <f>T("17H2010")</f>
        <v>17H2010</v>
      </c>
      <c r="E272" s="1" t="str">
        <f t="shared" si="45"/>
        <v>L1932</v>
      </c>
      <c r="F272" s="1" t="str">
        <f t="shared" si="46"/>
        <v>09/26/2017</v>
      </c>
      <c r="G272" s="3"/>
      <c r="H272" s="1" t="str">
        <f t="shared" si="37"/>
        <v/>
      </c>
    </row>
    <row r="273" spans="1:8" x14ac:dyDescent="0.2">
      <c r="A273" s="1" t="s">
        <v>17</v>
      </c>
      <c r="B273" s="1" t="str">
        <f>T("SPRYSTEP PLUS (MD) RIGHT")</f>
        <v>SPRYSTEP PLUS (MD) RIGHT</v>
      </c>
      <c r="C273" s="1" t="str">
        <f t="shared" si="44"/>
        <v>TOWNSEND DESIGN</v>
      </c>
      <c r="D273" s="1" t="str">
        <f>T("17H2011")</f>
        <v>17H2011</v>
      </c>
      <c r="E273" s="1" t="str">
        <f t="shared" si="45"/>
        <v>L1932</v>
      </c>
      <c r="F273" s="1" t="str">
        <f t="shared" si="46"/>
        <v>09/26/2017</v>
      </c>
      <c r="G273" s="3"/>
      <c r="H273" s="1" t="str">
        <f t="shared" si="37"/>
        <v/>
      </c>
    </row>
    <row r="274" spans="1:8" x14ac:dyDescent="0.2">
      <c r="A274" s="1" t="s">
        <v>17</v>
      </c>
      <c r="B274" s="1" t="str">
        <f>T("SPRYSTEP PLUS (LG) RIGHT")</f>
        <v>SPRYSTEP PLUS (LG) RIGHT</v>
      </c>
      <c r="C274" s="1" t="str">
        <f t="shared" si="44"/>
        <v>TOWNSEND DESIGN</v>
      </c>
      <c r="D274" s="1" t="str">
        <f>T("17H2012")</f>
        <v>17H2012</v>
      </c>
      <c r="E274" s="1" t="str">
        <f t="shared" si="45"/>
        <v>L1932</v>
      </c>
      <c r="F274" s="1" t="str">
        <f t="shared" si="46"/>
        <v>09/26/2017</v>
      </c>
      <c r="G274" s="3"/>
      <c r="H274" s="1" t="str">
        <f t="shared" si="37"/>
        <v/>
      </c>
    </row>
    <row r="275" spans="1:8" x14ac:dyDescent="0.2">
      <c r="A275" s="1" t="s">
        <v>17</v>
      </c>
      <c r="B275" s="1" t="str">
        <f>T("SPRYSTEP PLUS (XLG) RIGHT")</f>
        <v>SPRYSTEP PLUS (XLG) RIGHT</v>
      </c>
      <c r="C275" s="1" t="str">
        <f t="shared" si="44"/>
        <v>TOWNSEND DESIGN</v>
      </c>
      <c r="D275" s="1" t="str">
        <f>T("17H2013")</f>
        <v>17H2013</v>
      </c>
      <c r="E275" s="1" t="str">
        <f t="shared" si="45"/>
        <v>L1932</v>
      </c>
      <c r="F275" s="1" t="str">
        <f t="shared" si="46"/>
        <v>09/26/2017</v>
      </c>
      <c r="G275" s="3"/>
      <c r="H275" s="1" t="str">
        <f t="shared" si="37"/>
        <v/>
      </c>
    </row>
    <row r="276" spans="1:8" x14ac:dyDescent="0.2">
      <c r="A276" s="1" t="s">
        <v>17</v>
      </c>
      <c r="B276" s="1" t="str">
        <f>T("CENTRAL HEEL SUPPORT - SMALL")</f>
        <v>CENTRAL HEEL SUPPORT - SMALL</v>
      </c>
      <c r="C276" s="1" t="str">
        <f>T("ADVANCED ORTHOPAEDICS INC")</f>
        <v>ADVANCED ORTHOPAEDICS INC</v>
      </c>
      <c r="D276" s="1" t="str">
        <f>T("083")</f>
        <v>083</v>
      </c>
      <c r="E276" s="1" t="str">
        <f>T("L3170")</f>
        <v>L3170</v>
      </c>
      <c r="F276" s="1" t="str">
        <f>T("09/12/2017")</f>
        <v>09/12/2017</v>
      </c>
      <c r="G276" s="3"/>
      <c r="H276" s="1" t="str">
        <f t="shared" si="37"/>
        <v/>
      </c>
    </row>
    <row r="277" spans="1:8" x14ac:dyDescent="0.2">
      <c r="A277" s="1" t="s">
        <v>17</v>
      </c>
      <c r="B277" s="1" t="str">
        <f>T("CENTRAL HEEL SUPPORT - MEDIUM")</f>
        <v>CENTRAL HEEL SUPPORT - MEDIUM</v>
      </c>
      <c r="C277" s="1" t="str">
        <f>T("ADVANCED ORTHOPAEDICS INC")</f>
        <v>ADVANCED ORTHOPAEDICS INC</v>
      </c>
      <c r="D277" s="1" t="str">
        <f>T("085")</f>
        <v>085</v>
      </c>
      <c r="E277" s="1" t="str">
        <f>T("L3170")</f>
        <v>L3170</v>
      </c>
      <c r="F277" s="1" t="str">
        <f>T("09/12/2017")</f>
        <v>09/12/2017</v>
      </c>
      <c r="G277" s="3"/>
      <c r="H277" s="1" t="str">
        <f t="shared" si="37"/>
        <v/>
      </c>
    </row>
    <row r="278" spans="1:8" x14ac:dyDescent="0.2">
      <c r="A278" s="1" t="s">
        <v>17</v>
      </c>
      <c r="B278" s="1" t="str">
        <f>T("CENTRAL HEEL SUPPORT - LARGE")</f>
        <v>CENTRAL HEEL SUPPORT - LARGE</v>
      </c>
      <c r="C278" s="1" t="str">
        <f>T("ADVANCED ORTHOPAEDICS INC")</f>
        <v>ADVANCED ORTHOPAEDICS INC</v>
      </c>
      <c r="D278" s="1" t="str">
        <f>T("087")</f>
        <v>087</v>
      </c>
      <c r="E278" s="1" t="str">
        <f>T("L3170")</f>
        <v>L3170</v>
      </c>
      <c r="F278" s="1" t="str">
        <f>T("09/12/2017")</f>
        <v>09/12/2017</v>
      </c>
      <c r="G278" s="3"/>
      <c r="H278" s="1" t="str">
        <f t="shared" si="37"/>
        <v/>
      </c>
    </row>
    <row r="279" spans="1:8" x14ac:dyDescent="0.2">
      <c r="A279" s="1" t="s">
        <v>17</v>
      </c>
      <c r="B279" s="1" t="str">
        <f>T("COMFORT UNIVERSAL SHOULDER ABDUCTION PILLOW")</f>
        <v>COMFORT UNIVERSAL SHOULDER ABDUCTION PILLOW</v>
      </c>
      <c r="C279" s="1" t="str">
        <f>T("COMFORTLAND INTERNATIONAL LLC")</f>
        <v>COMFORTLAND INTERNATIONAL LLC</v>
      </c>
      <c r="D279" s="1" t="str">
        <f>T("CK-802 UNIVERSAL")</f>
        <v>CK-802 UNIVERSAL</v>
      </c>
      <c r="E279" s="1" t="str">
        <f>T("L3660")</f>
        <v>L3660</v>
      </c>
      <c r="F279" s="1" t="str">
        <f>T("09/05/2017")</f>
        <v>09/05/2017</v>
      </c>
      <c r="G279" s="3"/>
      <c r="H279" s="1" t="str">
        <f t="shared" si="37"/>
        <v/>
      </c>
    </row>
    <row r="280" spans="1:8" x14ac:dyDescent="0.2">
      <c r="A280" s="1" t="s">
        <v>18</v>
      </c>
      <c r="B280" s="3" t="s">
        <v>131</v>
      </c>
      <c r="C280" s="3" t="s">
        <v>11</v>
      </c>
      <c r="D280" s="2" t="s">
        <v>82</v>
      </c>
      <c r="E280" s="3" t="s">
        <v>83</v>
      </c>
      <c r="F280" s="4">
        <v>41864</v>
      </c>
      <c r="G280" s="4">
        <v>42982</v>
      </c>
      <c r="H280" s="3"/>
    </row>
    <row r="281" spans="1:8" x14ac:dyDescent="0.2">
      <c r="A281" s="1" t="s">
        <v>18</v>
      </c>
      <c r="B281" s="3" t="s">
        <v>133</v>
      </c>
      <c r="C281" s="3" t="s">
        <v>11</v>
      </c>
      <c r="D281" s="2" t="s">
        <v>87</v>
      </c>
      <c r="E281" s="3" t="s">
        <v>83</v>
      </c>
      <c r="F281" s="4">
        <v>41864</v>
      </c>
      <c r="G281" s="4">
        <v>42991</v>
      </c>
      <c r="H281" s="3"/>
    </row>
    <row r="282" spans="1:8" x14ac:dyDescent="0.2">
      <c r="A282" s="1" t="s">
        <v>17</v>
      </c>
      <c r="B282" s="1" t="str">
        <f>T("DICARRE NOBLE SLING 15 DEGREE BLACK")</f>
        <v>DICARRE NOBLE SLING 15 DEGREE BLACK</v>
      </c>
      <c r="C282" s="1" t="str">
        <f>T("DICARRE LLC")</f>
        <v>DICARRE LLC</v>
      </c>
      <c r="D282" s="1" t="str">
        <f>T("DE11-BK-UN")</f>
        <v>DE11-BK-UN</v>
      </c>
      <c r="E282" s="1" t="str">
        <f>T("L3670")</f>
        <v>L3670</v>
      </c>
      <c r="F282" s="1" t="str">
        <f>T("09/05/2017")</f>
        <v>09/05/2017</v>
      </c>
      <c r="G282" s="3"/>
      <c r="H282" s="1" t="str">
        <f t="shared" ref="H282:H313" si="47">T("")</f>
        <v/>
      </c>
    </row>
    <row r="283" spans="1:8" x14ac:dyDescent="0.2">
      <c r="A283" s="1" t="s">
        <v>17</v>
      </c>
      <c r="B283" s="1" t="str">
        <f>T("DICARRE NOBLE SLING ER 90 DEGREE BLACK")</f>
        <v>DICARRE NOBLE SLING ER 90 DEGREE BLACK</v>
      </c>
      <c r="C283" s="1" t="str">
        <f>T("DICARRE LLC")</f>
        <v>DICARRE LLC</v>
      </c>
      <c r="D283" s="1" t="str">
        <f>T("DE21-BK-UN")</f>
        <v>DE21-BK-UN</v>
      </c>
      <c r="E283" s="1" t="str">
        <f>T("L3670")</f>
        <v>L3670</v>
      </c>
      <c r="F283" s="1" t="str">
        <f>T("09/14/2017")</f>
        <v>09/14/2017</v>
      </c>
      <c r="G283" s="3"/>
      <c r="H283" s="1" t="str">
        <f t="shared" si="47"/>
        <v/>
      </c>
    </row>
    <row r="284" spans="1:8" x14ac:dyDescent="0.2">
      <c r="A284" s="1" t="s">
        <v>17</v>
      </c>
      <c r="B284" s="1" t="str">
        <f>T("PL-28 THUMB AND WRSIT SUPPORT")</f>
        <v>PL-28 THUMB AND WRSIT SUPPORT</v>
      </c>
      <c r="C284" s="1" t="str">
        <f>T("PROLINE BRACING LLC")</f>
        <v>PROLINE BRACING LLC</v>
      </c>
      <c r="D284" s="1" t="str">
        <f>T("PL-28 (101L)")</f>
        <v>PL-28 (101L)</v>
      </c>
      <c r="E284" s="1" t="str">
        <f>T("L3807 OR L3809")</f>
        <v>L3807 OR L3809</v>
      </c>
      <c r="F284" s="1" t="str">
        <f>T("09/05/2017")</f>
        <v>09/05/2017</v>
      </c>
      <c r="G284" s="3"/>
      <c r="H284" s="1" t="str">
        <f t="shared" si="47"/>
        <v/>
      </c>
    </row>
    <row r="285" spans="1:8" x14ac:dyDescent="0.2">
      <c r="A285" s="1" t="s">
        <v>17</v>
      </c>
      <c r="B285" s="1" t="str">
        <f>T("PL-28 THUMB AND WRSIT SUPPORT")</f>
        <v>PL-28 THUMB AND WRSIT SUPPORT</v>
      </c>
      <c r="C285" s="1" t="str">
        <f>T("PROLINE BRACING LLC")</f>
        <v>PROLINE BRACING LLC</v>
      </c>
      <c r="D285" s="1" t="str">
        <f>T("PL-28 (103L)")</f>
        <v>PL-28 (103L)</v>
      </c>
      <c r="E285" s="1" t="str">
        <f>T("L3807 OR L3809")</f>
        <v>L3807 OR L3809</v>
      </c>
      <c r="F285" s="1" t="str">
        <f>T("09/05/2017")</f>
        <v>09/05/2017</v>
      </c>
      <c r="G285" s="3"/>
      <c r="H285" s="1" t="str">
        <f t="shared" si="47"/>
        <v/>
      </c>
    </row>
    <row r="286" spans="1:8" x14ac:dyDescent="0.2">
      <c r="A286" s="1" t="s">
        <v>17</v>
      </c>
      <c r="B286" s="1" t="str">
        <f>T("PL-28 THUMB AND WRSIT SUPPORT")</f>
        <v>PL-28 THUMB AND WRSIT SUPPORT</v>
      </c>
      <c r="C286" s="1" t="str">
        <f>T("PROLINE BRACING LLC")</f>
        <v>PROLINE BRACING LLC</v>
      </c>
      <c r="D286" s="1" t="str">
        <f>T("PL-28 (101R)")</f>
        <v>PL-28 (101R)</v>
      </c>
      <c r="E286" s="1" t="str">
        <f>T("L3807 OR L3809")</f>
        <v>L3807 OR L3809</v>
      </c>
      <c r="F286" s="1" t="str">
        <f>T("09/05/2017")</f>
        <v>09/05/2017</v>
      </c>
      <c r="G286" s="3"/>
      <c r="H286" s="1" t="str">
        <f t="shared" si="47"/>
        <v/>
      </c>
    </row>
    <row r="287" spans="1:8" x14ac:dyDescent="0.2">
      <c r="A287" s="1" t="s">
        <v>17</v>
      </c>
      <c r="B287" s="1" t="str">
        <f>T("PL-28 THUMB AND WRSIT SUPPORT")</f>
        <v>PL-28 THUMB AND WRSIT SUPPORT</v>
      </c>
      <c r="C287" s="1" t="str">
        <f>T("PROLINE BRACING LLC")</f>
        <v>PROLINE BRACING LLC</v>
      </c>
      <c r="D287" s="1" t="str">
        <f>T("PL-28 (103R)")</f>
        <v>PL-28 (103R)</v>
      </c>
      <c r="E287" s="1" t="str">
        <f>T("L3807 OR L3809")</f>
        <v>L3807 OR L3809</v>
      </c>
      <c r="F287" s="1" t="str">
        <f>T("09/05/2017")</f>
        <v>09/05/2017</v>
      </c>
      <c r="G287" s="3"/>
      <c r="H287" s="1" t="str">
        <f t="shared" si="47"/>
        <v/>
      </c>
    </row>
    <row r="288" spans="1:8" x14ac:dyDescent="0.2">
      <c r="A288" s="1" t="s">
        <v>17</v>
      </c>
      <c r="B288" s="1" t="str">
        <f>T("UNIVERSAL WRIST BRACE - RIGHT")</f>
        <v>UNIVERSAL WRIST BRACE - RIGHT</v>
      </c>
      <c r="C288" s="1" t="str">
        <f>T("ADVANCED ORTHOPAEDICS INC")</f>
        <v>ADVANCED ORTHOPAEDICS INC</v>
      </c>
      <c r="D288" s="1" t="str">
        <f>T("340-R")</f>
        <v>340-R</v>
      </c>
      <c r="E288" s="1" t="str">
        <f>T("L3908")</f>
        <v>L3908</v>
      </c>
      <c r="F288" s="1" t="str">
        <f>T("09/12/2017")</f>
        <v>09/12/2017</v>
      </c>
      <c r="G288" s="3"/>
      <c r="H288" s="1" t="str">
        <f t="shared" si="47"/>
        <v/>
      </c>
    </row>
    <row r="289" spans="1:8" x14ac:dyDescent="0.2">
      <c r="A289" s="1" t="s">
        <v>17</v>
      </c>
      <c r="B289" s="1" t="str">
        <f>T("UNIVERSAL WRIST BRACE - LEFT")</f>
        <v>UNIVERSAL WRIST BRACE - LEFT</v>
      </c>
      <c r="C289" s="1" t="str">
        <f>T("ADVANCED ORTHOPAEDICS INC")</f>
        <v>ADVANCED ORTHOPAEDICS INC</v>
      </c>
      <c r="D289" s="1" t="str">
        <f>T("350-L")</f>
        <v>350-L</v>
      </c>
      <c r="E289" s="1" t="str">
        <f>T("L3908")</f>
        <v>L3908</v>
      </c>
      <c r="F289" s="1" t="str">
        <f>T("09/12/2017")</f>
        <v>09/12/2017</v>
      </c>
      <c r="G289" s="3"/>
      <c r="H289" s="1" t="str">
        <f t="shared" si="47"/>
        <v/>
      </c>
    </row>
    <row r="290" spans="1:8" x14ac:dyDescent="0.2">
      <c r="A290" s="1" t="s">
        <v>17</v>
      </c>
      <c r="B290" s="1" t="str">
        <f>T("THE UNIVERSAL SHOULDER BRACE")</f>
        <v>THE UNIVERSAL SHOULDER BRACE</v>
      </c>
      <c r="C290" s="1" t="str">
        <f>T("JACMART MEDICAL SUPPLY LLC")</f>
        <v>JACMART MEDICAL SUPPLY LLC</v>
      </c>
      <c r="D290" s="1" t="str">
        <f>T("JM-89-S")</f>
        <v>JM-89-S</v>
      </c>
      <c r="E290" s="1" t="str">
        <f>T("L3960")</f>
        <v>L3960</v>
      </c>
      <c r="F290" s="1" t="str">
        <f>T("09/14/2017")</f>
        <v>09/14/2017</v>
      </c>
      <c r="G290" s="3"/>
      <c r="H290" s="1" t="str">
        <f t="shared" si="47"/>
        <v/>
      </c>
    </row>
    <row r="291" spans="1:8" x14ac:dyDescent="0.2">
      <c r="A291" s="1" t="s">
        <v>17</v>
      </c>
      <c r="B291" s="1" t="str">
        <f>T("THE UNIVERSAL SHOULDER BRACE")</f>
        <v>THE UNIVERSAL SHOULDER BRACE</v>
      </c>
      <c r="C291" s="1" t="str">
        <f>T("JACMART MEDICAL SUPPLY LLC")</f>
        <v>JACMART MEDICAL SUPPLY LLC</v>
      </c>
      <c r="D291" s="1" t="str">
        <f>T("JM-99-L")</f>
        <v>JM-99-L</v>
      </c>
      <c r="E291" s="1" t="str">
        <f>T("L3960")</f>
        <v>L3960</v>
      </c>
      <c r="F291" s="1" t="str">
        <f>T("09/14/2017")</f>
        <v>09/14/2017</v>
      </c>
      <c r="G291" s="3"/>
      <c r="H291" s="1" t="str">
        <f t="shared" si="47"/>
        <v/>
      </c>
    </row>
    <row r="292" spans="1:8" x14ac:dyDescent="0.2">
      <c r="A292" s="1" t="s">
        <v>17</v>
      </c>
      <c r="B292" s="1" t="str">
        <f>T("LOW PROFILE AIR WALKER (HIGH TOP) - SMALL")</f>
        <v>LOW PROFILE AIR WALKER (HIGH TOP) - SMALL</v>
      </c>
      <c r="C292" s="1" t="str">
        <f t="shared" ref="C292:C301" si="48">T("ADVANCED ORTHOPAEDICS INC")</f>
        <v>ADVANCED ORTHOPAEDICS INC</v>
      </c>
      <c r="D292" s="1" t="str">
        <f>T("330-AZ")</f>
        <v>330-AZ</v>
      </c>
      <c r="E292" s="1" t="str">
        <f t="shared" ref="E292:E307" si="49">T("L4360 OR L4361")</f>
        <v>L4360 OR L4361</v>
      </c>
      <c r="F292" s="1" t="str">
        <f t="shared" ref="F292:F301" si="50">T("09/22/2017")</f>
        <v>09/22/2017</v>
      </c>
      <c r="G292" s="3"/>
      <c r="H292" s="1" t="str">
        <f t="shared" si="47"/>
        <v/>
      </c>
    </row>
    <row r="293" spans="1:8" x14ac:dyDescent="0.2">
      <c r="A293" s="1" t="s">
        <v>17</v>
      </c>
      <c r="B293" s="1" t="str">
        <f>T("LOW PROFILE AIR WALKER (HIGH TOP) - MEDIUM")</f>
        <v>LOW PROFILE AIR WALKER (HIGH TOP) - MEDIUM</v>
      </c>
      <c r="C293" s="1" t="str">
        <f t="shared" si="48"/>
        <v>ADVANCED ORTHOPAEDICS INC</v>
      </c>
      <c r="D293" s="1" t="str">
        <f>T("360-AZ")</f>
        <v>360-AZ</v>
      </c>
      <c r="E293" s="1" t="str">
        <f t="shared" si="49"/>
        <v>L4360 OR L4361</v>
      </c>
      <c r="F293" s="1" t="str">
        <f t="shared" si="50"/>
        <v>09/22/2017</v>
      </c>
      <c r="G293" s="3"/>
      <c r="H293" s="1" t="str">
        <f t="shared" si="47"/>
        <v/>
      </c>
    </row>
    <row r="294" spans="1:8" x14ac:dyDescent="0.2">
      <c r="A294" s="1" t="s">
        <v>17</v>
      </c>
      <c r="B294" s="1" t="str">
        <f>T("LOW PROFILE AIR WALKER (HIGH TOP) - X SMALL")</f>
        <v>LOW PROFILE AIR WALKER (HIGH TOP) - X SMALL</v>
      </c>
      <c r="C294" s="1" t="str">
        <f t="shared" si="48"/>
        <v>ADVANCED ORTHOPAEDICS INC</v>
      </c>
      <c r="D294" s="1" t="str">
        <f>T("320-AZ")</f>
        <v>320-AZ</v>
      </c>
      <c r="E294" s="1" t="str">
        <f t="shared" si="49"/>
        <v>L4360 OR L4361</v>
      </c>
      <c r="F294" s="1" t="str">
        <f t="shared" si="50"/>
        <v>09/22/2017</v>
      </c>
      <c r="G294" s="3"/>
      <c r="H294" s="1" t="str">
        <f t="shared" si="47"/>
        <v/>
      </c>
    </row>
    <row r="295" spans="1:8" x14ac:dyDescent="0.2">
      <c r="A295" s="1" t="s">
        <v>17</v>
      </c>
      <c r="B295" s="1" t="str">
        <f>T("LOW PROFILE AIR WALKER (LOW TOP) SMALL")</f>
        <v>LOW PROFILE AIR WALKER (LOW TOP) SMALL</v>
      </c>
      <c r="C295" s="1" t="str">
        <f t="shared" si="48"/>
        <v>ADVANCED ORTHOPAEDICS INC</v>
      </c>
      <c r="D295" s="1" t="str">
        <f>T("330-LAZ")</f>
        <v>330-LAZ</v>
      </c>
      <c r="E295" s="1" t="str">
        <f t="shared" si="49"/>
        <v>L4360 OR L4361</v>
      </c>
      <c r="F295" s="1" t="str">
        <f t="shared" si="50"/>
        <v>09/22/2017</v>
      </c>
      <c r="G295" s="3"/>
      <c r="H295" s="1" t="str">
        <f t="shared" si="47"/>
        <v/>
      </c>
    </row>
    <row r="296" spans="1:8" x14ac:dyDescent="0.2">
      <c r="A296" s="1" t="s">
        <v>17</v>
      </c>
      <c r="B296" s="1" t="str">
        <f>T("LOW PROFILE AIR WALKER (HIGH TOP) - LARGE")</f>
        <v>LOW PROFILE AIR WALKER (HIGH TOP) - LARGE</v>
      </c>
      <c r="C296" s="1" t="str">
        <f t="shared" si="48"/>
        <v>ADVANCED ORTHOPAEDICS INC</v>
      </c>
      <c r="D296" s="1" t="str">
        <f>T("390-AZ")</f>
        <v>390-AZ</v>
      </c>
      <c r="E296" s="1" t="str">
        <f t="shared" si="49"/>
        <v>L4360 OR L4361</v>
      </c>
      <c r="F296" s="1" t="str">
        <f t="shared" si="50"/>
        <v>09/22/2017</v>
      </c>
      <c r="G296" s="3"/>
      <c r="H296" s="1" t="str">
        <f t="shared" si="47"/>
        <v/>
      </c>
    </row>
    <row r="297" spans="1:8" x14ac:dyDescent="0.2">
      <c r="A297" s="1" t="s">
        <v>17</v>
      </c>
      <c r="B297" s="1" t="str">
        <f>T("LOW PROFILE AIR WALKER (LOW TOP) X SMALL")</f>
        <v>LOW PROFILE AIR WALKER (LOW TOP) X SMALL</v>
      </c>
      <c r="C297" s="1" t="str">
        <f t="shared" si="48"/>
        <v>ADVANCED ORTHOPAEDICS INC</v>
      </c>
      <c r="D297" s="1" t="str">
        <f>T("320-LAZ")</f>
        <v>320-LAZ</v>
      </c>
      <c r="E297" s="1" t="str">
        <f t="shared" si="49"/>
        <v>L4360 OR L4361</v>
      </c>
      <c r="F297" s="1" t="str">
        <f t="shared" si="50"/>
        <v>09/22/2017</v>
      </c>
      <c r="G297" s="3"/>
      <c r="H297" s="1" t="str">
        <f t="shared" si="47"/>
        <v/>
      </c>
    </row>
    <row r="298" spans="1:8" x14ac:dyDescent="0.2">
      <c r="A298" s="1" t="s">
        <v>17</v>
      </c>
      <c r="B298" s="1" t="str">
        <f>T("LOW PROFILE AIR WALKER (HIGH TOP) - X LARGE")</f>
        <v>LOW PROFILE AIR WALKER (HIGH TOP) - X LARGE</v>
      </c>
      <c r="C298" s="1" t="str">
        <f t="shared" si="48"/>
        <v>ADVANCED ORTHOPAEDICS INC</v>
      </c>
      <c r="D298" s="1" t="str">
        <f>T("398-AZ")</f>
        <v>398-AZ</v>
      </c>
      <c r="E298" s="1" t="str">
        <f t="shared" si="49"/>
        <v>L4360 OR L4361</v>
      </c>
      <c r="F298" s="1" t="str">
        <f t="shared" si="50"/>
        <v>09/22/2017</v>
      </c>
      <c r="G298" s="3"/>
      <c r="H298" s="1" t="str">
        <f t="shared" si="47"/>
        <v/>
      </c>
    </row>
    <row r="299" spans="1:8" x14ac:dyDescent="0.2">
      <c r="A299" s="1" t="s">
        <v>17</v>
      </c>
      <c r="B299" s="1" t="str">
        <f>T("LOW PROFILE AIR WALKER (LOW TOP) MEDIUM")</f>
        <v>LOW PROFILE AIR WALKER (LOW TOP) MEDIUM</v>
      </c>
      <c r="C299" s="1" t="str">
        <f t="shared" si="48"/>
        <v>ADVANCED ORTHOPAEDICS INC</v>
      </c>
      <c r="D299" s="1" t="str">
        <f>T("360-LAZ")</f>
        <v>360-LAZ</v>
      </c>
      <c r="E299" s="1" t="str">
        <f t="shared" si="49"/>
        <v>L4360 OR L4361</v>
      </c>
      <c r="F299" s="1" t="str">
        <f t="shared" si="50"/>
        <v>09/22/2017</v>
      </c>
      <c r="G299" s="3"/>
      <c r="H299" s="1" t="str">
        <f t="shared" si="47"/>
        <v/>
      </c>
    </row>
    <row r="300" spans="1:8" x14ac:dyDescent="0.2">
      <c r="A300" s="1" t="s">
        <v>17</v>
      </c>
      <c r="B300" s="1" t="str">
        <f>T("LOW PROFILE AIR WALKER (LOW TOP) LARGE")</f>
        <v>LOW PROFILE AIR WALKER (LOW TOP) LARGE</v>
      </c>
      <c r="C300" s="1" t="str">
        <f t="shared" si="48"/>
        <v>ADVANCED ORTHOPAEDICS INC</v>
      </c>
      <c r="D300" s="1" t="str">
        <f>T("390-LAZ")</f>
        <v>390-LAZ</v>
      </c>
      <c r="E300" s="1" t="str">
        <f t="shared" si="49"/>
        <v>L4360 OR L4361</v>
      </c>
      <c r="F300" s="1" t="str">
        <f t="shared" si="50"/>
        <v>09/22/2017</v>
      </c>
      <c r="G300" s="3"/>
      <c r="H300" s="1" t="str">
        <f t="shared" si="47"/>
        <v/>
      </c>
    </row>
    <row r="301" spans="1:8" x14ac:dyDescent="0.2">
      <c r="A301" s="1" t="s">
        <v>17</v>
      </c>
      <c r="B301" s="1" t="str">
        <f>T("LOW PROFILE AIR WALKER (LOW TOP) X LARGE")</f>
        <v>LOW PROFILE AIR WALKER (LOW TOP) X LARGE</v>
      </c>
      <c r="C301" s="1" t="str">
        <f t="shared" si="48"/>
        <v>ADVANCED ORTHOPAEDICS INC</v>
      </c>
      <c r="D301" s="1" t="str">
        <f>T("398-LAZ")</f>
        <v>398-LAZ</v>
      </c>
      <c r="E301" s="1" t="str">
        <f t="shared" si="49"/>
        <v>L4360 OR L4361</v>
      </c>
      <c r="F301" s="1" t="str">
        <f t="shared" si="50"/>
        <v>09/22/2017</v>
      </c>
      <c r="G301" s="3"/>
      <c r="H301" s="1" t="str">
        <f t="shared" si="47"/>
        <v/>
      </c>
    </row>
    <row r="302" spans="1:8" x14ac:dyDescent="0.2">
      <c r="A302" s="1" t="s">
        <v>17</v>
      </c>
      <c r="B302" s="1" t="str">
        <f t="shared" ref="B302:B307" si="51">T("LOW TOP AIR WALKER BOOT")</f>
        <v>LOW TOP AIR WALKER BOOT</v>
      </c>
      <c r="C302" s="1" t="str">
        <f t="shared" ref="C302:C307" si="52">T("DR MEDICAL")</f>
        <v>DR MEDICAL</v>
      </c>
      <c r="D302" s="1" t="str">
        <f>T("AB0104-130")</f>
        <v>AB0104-130</v>
      </c>
      <c r="E302" s="1" t="str">
        <f t="shared" si="49"/>
        <v>L4360 OR L4361</v>
      </c>
      <c r="F302" s="1" t="str">
        <f t="shared" ref="F302:F307" si="53">T("09/29/2017")</f>
        <v>09/29/2017</v>
      </c>
      <c r="G302" s="3"/>
      <c r="H302" s="1" t="str">
        <f t="shared" si="47"/>
        <v/>
      </c>
    </row>
    <row r="303" spans="1:8" x14ac:dyDescent="0.2">
      <c r="A303" s="1" t="s">
        <v>17</v>
      </c>
      <c r="B303" s="1" t="str">
        <f t="shared" si="51"/>
        <v>LOW TOP AIR WALKER BOOT</v>
      </c>
      <c r="C303" s="1" t="str">
        <f t="shared" si="52"/>
        <v>DR MEDICAL</v>
      </c>
      <c r="D303" s="1" t="str">
        <f>T("AB0104-130-00")</f>
        <v>AB0104-130-00</v>
      </c>
      <c r="E303" s="1" t="str">
        <f t="shared" si="49"/>
        <v>L4360 OR L4361</v>
      </c>
      <c r="F303" s="1" t="str">
        <f t="shared" si="53"/>
        <v>09/29/2017</v>
      </c>
      <c r="G303" s="3"/>
      <c r="H303" s="1" t="str">
        <f t="shared" si="47"/>
        <v/>
      </c>
    </row>
    <row r="304" spans="1:8" x14ac:dyDescent="0.2">
      <c r="A304" s="1" t="s">
        <v>17</v>
      </c>
      <c r="B304" s="1" t="str">
        <f t="shared" si="51"/>
        <v>LOW TOP AIR WALKER BOOT</v>
      </c>
      <c r="C304" s="1" t="str">
        <f t="shared" si="52"/>
        <v>DR MEDICAL</v>
      </c>
      <c r="D304" s="1" t="str">
        <f>T("AB0104-130-01")</f>
        <v>AB0104-130-01</v>
      </c>
      <c r="E304" s="1" t="str">
        <f t="shared" si="49"/>
        <v>L4360 OR L4361</v>
      </c>
      <c r="F304" s="1" t="str">
        <f t="shared" si="53"/>
        <v>09/29/2017</v>
      </c>
      <c r="G304" s="3"/>
      <c r="H304" s="1" t="str">
        <f t="shared" si="47"/>
        <v/>
      </c>
    </row>
    <row r="305" spans="1:8" x14ac:dyDescent="0.2">
      <c r="A305" s="1" t="s">
        <v>17</v>
      </c>
      <c r="B305" s="1" t="str">
        <f t="shared" si="51"/>
        <v>LOW TOP AIR WALKER BOOT</v>
      </c>
      <c r="C305" s="1" t="str">
        <f t="shared" si="52"/>
        <v>DR MEDICAL</v>
      </c>
      <c r="D305" s="1" t="str">
        <f>T("AB0104-130-02")</f>
        <v>AB0104-130-02</v>
      </c>
      <c r="E305" s="1" t="str">
        <f t="shared" si="49"/>
        <v>L4360 OR L4361</v>
      </c>
      <c r="F305" s="1" t="str">
        <f t="shared" si="53"/>
        <v>09/29/2017</v>
      </c>
      <c r="G305" s="3"/>
      <c r="H305" s="1" t="str">
        <f t="shared" si="47"/>
        <v/>
      </c>
    </row>
    <row r="306" spans="1:8" x14ac:dyDescent="0.2">
      <c r="A306" s="1" t="s">
        <v>17</v>
      </c>
      <c r="B306" s="1" t="str">
        <f t="shared" si="51"/>
        <v>LOW TOP AIR WALKER BOOT</v>
      </c>
      <c r="C306" s="1" t="str">
        <f t="shared" si="52"/>
        <v>DR MEDICAL</v>
      </c>
      <c r="D306" s="1" t="str">
        <f>T("AB0104-130-03")</f>
        <v>AB0104-130-03</v>
      </c>
      <c r="E306" s="1" t="str">
        <f t="shared" si="49"/>
        <v>L4360 OR L4361</v>
      </c>
      <c r="F306" s="1" t="str">
        <f t="shared" si="53"/>
        <v>09/29/2017</v>
      </c>
      <c r="G306" s="3"/>
      <c r="H306" s="1" t="str">
        <f t="shared" si="47"/>
        <v/>
      </c>
    </row>
    <row r="307" spans="1:8" x14ac:dyDescent="0.2">
      <c r="A307" s="1" t="s">
        <v>17</v>
      </c>
      <c r="B307" s="1" t="str">
        <f t="shared" si="51"/>
        <v>LOW TOP AIR WALKER BOOT</v>
      </c>
      <c r="C307" s="1" t="str">
        <f t="shared" si="52"/>
        <v>DR MEDICAL</v>
      </c>
      <c r="D307" s="1" t="str">
        <f>T("AB0104-130-04")</f>
        <v>AB0104-130-04</v>
      </c>
      <c r="E307" s="1" t="str">
        <f t="shared" si="49"/>
        <v>L4360 OR L4361</v>
      </c>
      <c r="F307" s="1" t="str">
        <f t="shared" si="53"/>
        <v>09/29/2017</v>
      </c>
      <c r="G307" s="3"/>
      <c r="H307" s="1" t="str">
        <f t="shared" si="47"/>
        <v/>
      </c>
    </row>
    <row r="308" spans="1:8" x14ac:dyDescent="0.2">
      <c r="A308" s="1" t="s">
        <v>17</v>
      </c>
      <c r="B308" s="1" t="str">
        <f>T("WALKING BOOT TALL X-SMALL")</f>
        <v>WALKING BOOT TALL X-SMALL</v>
      </c>
      <c r="C308" s="1" t="str">
        <f t="shared" ref="C308:C317" si="54">T("ORTHOZONE INC")</f>
        <v>ORTHOZONE INC</v>
      </c>
      <c r="D308" s="1" t="str">
        <f>T("12115")</f>
        <v>12115</v>
      </c>
      <c r="E308" s="1" t="str">
        <f t="shared" ref="E308:E329" si="55">T("L4386 OR L4387")</f>
        <v>L4386 OR L4387</v>
      </c>
      <c r="F308" s="1" t="str">
        <f>T("09/12/2017")</f>
        <v>09/12/2017</v>
      </c>
      <c r="G308" s="3"/>
      <c r="H308" s="1" t="str">
        <f t="shared" si="47"/>
        <v/>
      </c>
    </row>
    <row r="309" spans="1:8" x14ac:dyDescent="0.2">
      <c r="A309" s="1" t="s">
        <v>17</v>
      </c>
      <c r="B309" s="1" t="str">
        <f>T("WALKING BOOT TALL SMALL")</f>
        <v>WALKING BOOT TALL SMALL</v>
      </c>
      <c r="C309" s="1" t="str">
        <f t="shared" si="54"/>
        <v>ORTHOZONE INC</v>
      </c>
      <c r="D309" s="1" t="str">
        <f>T("13115")</f>
        <v>13115</v>
      </c>
      <c r="E309" s="1" t="str">
        <f t="shared" si="55"/>
        <v>L4386 OR L4387</v>
      </c>
      <c r="F309" s="1" t="str">
        <f>T("09/12/2017")</f>
        <v>09/12/2017</v>
      </c>
      <c r="G309" s="3"/>
      <c r="H309" s="1" t="str">
        <f t="shared" si="47"/>
        <v/>
      </c>
    </row>
    <row r="310" spans="1:8" x14ac:dyDescent="0.2">
      <c r="A310" s="1" t="s">
        <v>17</v>
      </c>
      <c r="B310" s="1" t="str">
        <f>T("WALKING BOOT TALL MEDIUM")</f>
        <v>WALKING BOOT TALL MEDIUM</v>
      </c>
      <c r="C310" s="1" t="str">
        <f t="shared" si="54"/>
        <v>ORTHOZONE INC</v>
      </c>
      <c r="D310" s="1" t="str">
        <f>T("14115")</f>
        <v>14115</v>
      </c>
      <c r="E310" s="1" t="str">
        <f t="shared" si="55"/>
        <v>L4386 OR L4387</v>
      </c>
      <c r="F310" s="1" t="str">
        <f>T("09/12/2017")</f>
        <v>09/12/2017</v>
      </c>
      <c r="G310" s="3"/>
      <c r="H310" s="1" t="str">
        <f t="shared" si="47"/>
        <v/>
      </c>
    </row>
    <row r="311" spans="1:8" x14ac:dyDescent="0.2">
      <c r="A311" s="1" t="s">
        <v>17</v>
      </c>
      <c r="B311" s="1" t="str">
        <f>T("WALKING BOOT TALL LARGE")</f>
        <v>WALKING BOOT TALL LARGE</v>
      </c>
      <c r="C311" s="1" t="str">
        <f t="shared" si="54"/>
        <v>ORTHOZONE INC</v>
      </c>
      <c r="D311" s="1" t="str">
        <f>T("15115")</f>
        <v>15115</v>
      </c>
      <c r="E311" s="1" t="str">
        <f t="shared" si="55"/>
        <v>L4386 OR L4387</v>
      </c>
      <c r="F311" s="1" t="str">
        <f>T("09/12/2017")</f>
        <v>09/12/2017</v>
      </c>
      <c r="G311" s="3"/>
      <c r="H311" s="1" t="str">
        <f t="shared" si="47"/>
        <v/>
      </c>
    </row>
    <row r="312" spans="1:8" x14ac:dyDescent="0.2">
      <c r="A312" s="1" t="s">
        <v>17</v>
      </c>
      <c r="B312" s="1" t="str">
        <f>T("WALKING BOOT TALL X-LARGE")</f>
        <v>WALKING BOOT TALL X-LARGE</v>
      </c>
      <c r="C312" s="1" t="str">
        <f t="shared" si="54"/>
        <v>ORTHOZONE INC</v>
      </c>
      <c r="D312" s="1" t="str">
        <f>T("16115")</f>
        <v>16115</v>
      </c>
      <c r="E312" s="1" t="str">
        <f t="shared" si="55"/>
        <v>L4386 OR L4387</v>
      </c>
      <c r="F312" s="1" t="str">
        <f>T("09/12/2017")</f>
        <v>09/12/2017</v>
      </c>
      <c r="G312" s="3"/>
      <c r="H312" s="1" t="str">
        <f t="shared" si="47"/>
        <v/>
      </c>
    </row>
    <row r="313" spans="1:8" x14ac:dyDescent="0.2">
      <c r="A313" s="1" t="s">
        <v>17</v>
      </c>
      <c r="B313" s="1" t="str">
        <f>T("WALKING BOOT SHORT X-SMALL")</f>
        <v>WALKING BOOT SHORT X-SMALL</v>
      </c>
      <c r="C313" s="1" t="str">
        <f t="shared" si="54"/>
        <v>ORTHOZONE INC</v>
      </c>
      <c r="D313" s="1" t="str">
        <f>T("12114")</f>
        <v>12114</v>
      </c>
      <c r="E313" s="1" t="str">
        <f t="shared" si="55"/>
        <v>L4386 OR L4387</v>
      </c>
      <c r="F313" s="1" t="str">
        <f>T("09/13/2017")</f>
        <v>09/13/2017</v>
      </c>
      <c r="G313" s="3"/>
      <c r="H313" s="1" t="str">
        <f t="shared" si="47"/>
        <v/>
      </c>
    </row>
    <row r="314" spans="1:8" x14ac:dyDescent="0.2">
      <c r="A314" s="1" t="s">
        <v>17</v>
      </c>
      <c r="B314" s="1" t="str">
        <f>T("WALKING BOOT SHORT SMALL")</f>
        <v>WALKING BOOT SHORT SMALL</v>
      </c>
      <c r="C314" s="1" t="str">
        <f t="shared" si="54"/>
        <v>ORTHOZONE INC</v>
      </c>
      <c r="D314" s="1" t="str">
        <f>T("13114")</f>
        <v>13114</v>
      </c>
      <c r="E314" s="1" t="str">
        <f t="shared" si="55"/>
        <v>L4386 OR L4387</v>
      </c>
      <c r="F314" s="1" t="str">
        <f>T("09/13/2017")</f>
        <v>09/13/2017</v>
      </c>
      <c r="G314" s="3"/>
      <c r="H314" s="1" t="str">
        <f t="shared" ref="H314:H334" si="56">T("")</f>
        <v/>
      </c>
    </row>
    <row r="315" spans="1:8" x14ac:dyDescent="0.2">
      <c r="A315" s="1" t="s">
        <v>17</v>
      </c>
      <c r="B315" s="1" t="str">
        <f>T("WALKING BOOT SHORT MEDIUM")</f>
        <v>WALKING BOOT SHORT MEDIUM</v>
      </c>
      <c r="C315" s="1" t="str">
        <f t="shared" si="54"/>
        <v>ORTHOZONE INC</v>
      </c>
      <c r="D315" s="1" t="str">
        <f>T("14114")</f>
        <v>14114</v>
      </c>
      <c r="E315" s="1" t="str">
        <f t="shared" si="55"/>
        <v>L4386 OR L4387</v>
      </c>
      <c r="F315" s="1" t="str">
        <f>T("09/13/2017")</f>
        <v>09/13/2017</v>
      </c>
      <c r="G315" s="3"/>
      <c r="H315" s="1" t="str">
        <f t="shared" si="56"/>
        <v/>
      </c>
    </row>
    <row r="316" spans="1:8" x14ac:dyDescent="0.2">
      <c r="A316" s="1" t="s">
        <v>17</v>
      </c>
      <c r="B316" s="1" t="str">
        <f>T("WALKING BOOT SHORT LARGE")</f>
        <v>WALKING BOOT SHORT LARGE</v>
      </c>
      <c r="C316" s="1" t="str">
        <f t="shared" si="54"/>
        <v>ORTHOZONE INC</v>
      </c>
      <c r="D316" s="1" t="str">
        <f>T("15114")</f>
        <v>15114</v>
      </c>
      <c r="E316" s="1" t="str">
        <f t="shared" si="55"/>
        <v>L4386 OR L4387</v>
      </c>
      <c r="F316" s="1" t="str">
        <f>T("09/13/2017")</f>
        <v>09/13/2017</v>
      </c>
      <c r="G316" s="3"/>
      <c r="H316" s="1" t="str">
        <f t="shared" si="56"/>
        <v/>
      </c>
    </row>
    <row r="317" spans="1:8" x14ac:dyDescent="0.2">
      <c r="A317" s="1" t="s">
        <v>17</v>
      </c>
      <c r="B317" s="1" t="str">
        <f>T("WALKING BOOT SHORT X-LARGE")</f>
        <v>WALKING BOOT SHORT X-LARGE</v>
      </c>
      <c r="C317" s="1" t="str">
        <f t="shared" si="54"/>
        <v>ORTHOZONE INC</v>
      </c>
      <c r="D317" s="1" t="str">
        <f>T("16114")</f>
        <v>16114</v>
      </c>
      <c r="E317" s="1" t="str">
        <f t="shared" si="55"/>
        <v>L4386 OR L4387</v>
      </c>
      <c r="F317" s="1" t="str">
        <f>T("09/13/2017")</f>
        <v>09/13/2017</v>
      </c>
      <c r="G317" s="3"/>
      <c r="H317" s="1" t="str">
        <f t="shared" si="56"/>
        <v/>
      </c>
    </row>
    <row r="318" spans="1:8" x14ac:dyDescent="0.2">
      <c r="A318" s="1" t="s">
        <v>17</v>
      </c>
      <c r="B318" s="1" t="str">
        <f>T("LOW PROFILE WALKER (LOW TOP) SMALL")</f>
        <v>LOW PROFILE WALKER (LOW TOP) SMALL</v>
      </c>
      <c r="C318" s="1" t="str">
        <f t="shared" ref="C318:C323" si="57">T("ADVANCED ORTHOPAEDICS INC")</f>
        <v>ADVANCED ORTHOPAEDICS INC</v>
      </c>
      <c r="D318" s="1" t="str">
        <f>T("330-LE")</f>
        <v>330-LE</v>
      </c>
      <c r="E318" s="1" t="str">
        <f t="shared" si="55"/>
        <v>L4386 OR L4387</v>
      </c>
      <c r="F318" s="1" t="str">
        <f t="shared" ref="F318:F323" si="58">T("09/22/2017")</f>
        <v>09/22/2017</v>
      </c>
      <c r="G318" s="3"/>
      <c r="H318" s="1" t="str">
        <f t="shared" si="56"/>
        <v/>
      </c>
    </row>
    <row r="319" spans="1:8" x14ac:dyDescent="0.2">
      <c r="A319" s="1" t="s">
        <v>17</v>
      </c>
      <c r="B319" s="1" t="str">
        <f>T("LOW PROFILE WALKER (LOW TOP) MEDIUM")</f>
        <v>LOW PROFILE WALKER (LOW TOP) MEDIUM</v>
      </c>
      <c r="C319" s="1" t="str">
        <f t="shared" si="57"/>
        <v>ADVANCED ORTHOPAEDICS INC</v>
      </c>
      <c r="D319" s="1" t="str">
        <f>T("360-LE")</f>
        <v>360-LE</v>
      </c>
      <c r="E319" s="1" t="str">
        <f t="shared" si="55"/>
        <v>L4386 OR L4387</v>
      </c>
      <c r="F319" s="1" t="str">
        <f t="shared" si="58"/>
        <v>09/22/2017</v>
      </c>
      <c r="G319" s="3"/>
      <c r="H319" s="1" t="str">
        <f t="shared" si="56"/>
        <v/>
      </c>
    </row>
    <row r="320" spans="1:8" x14ac:dyDescent="0.2">
      <c r="A320" s="1" t="s">
        <v>17</v>
      </c>
      <c r="B320" s="1" t="str">
        <f>T("LOW PROFILE WALKER (LOW TOP) LARGE")</f>
        <v>LOW PROFILE WALKER (LOW TOP) LARGE</v>
      </c>
      <c r="C320" s="1" t="str">
        <f t="shared" si="57"/>
        <v>ADVANCED ORTHOPAEDICS INC</v>
      </c>
      <c r="D320" s="1" t="str">
        <f>T("390-LE")</f>
        <v>390-LE</v>
      </c>
      <c r="E320" s="1" t="str">
        <f t="shared" si="55"/>
        <v>L4386 OR L4387</v>
      </c>
      <c r="F320" s="1" t="str">
        <f t="shared" si="58"/>
        <v>09/22/2017</v>
      </c>
      <c r="G320" s="3"/>
      <c r="H320" s="1" t="str">
        <f t="shared" si="56"/>
        <v/>
      </c>
    </row>
    <row r="321" spans="1:8" x14ac:dyDescent="0.2">
      <c r="A321" s="1" t="s">
        <v>17</v>
      </c>
      <c r="B321" s="1" t="str">
        <f>T("LOW PROFILE WALKER (HIGH TOP) SMALL")</f>
        <v>LOW PROFILE WALKER (HIGH TOP) SMALL</v>
      </c>
      <c r="C321" s="1" t="str">
        <f t="shared" si="57"/>
        <v>ADVANCED ORTHOPAEDICS INC</v>
      </c>
      <c r="D321" s="1" t="str">
        <f>T("330-E")</f>
        <v>330-E</v>
      </c>
      <c r="E321" s="1" t="str">
        <f t="shared" si="55"/>
        <v>L4386 OR L4387</v>
      </c>
      <c r="F321" s="1" t="str">
        <f t="shared" si="58"/>
        <v>09/22/2017</v>
      </c>
      <c r="G321" s="3"/>
      <c r="H321" s="1" t="str">
        <f t="shared" si="56"/>
        <v/>
      </c>
    </row>
    <row r="322" spans="1:8" x14ac:dyDescent="0.2">
      <c r="A322" s="1" t="s">
        <v>17</v>
      </c>
      <c r="B322" s="1" t="str">
        <f>T("LOW PROFILE WALKER (HIGH TOP) MEDIUM")</f>
        <v>LOW PROFILE WALKER (HIGH TOP) MEDIUM</v>
      </c>
      <c r="C322" s="1" t="str">
        <f t="shared" si="57"/>
        <v>ADVANCED ORTHOPAEDICS INC</v>
      </c>
      <c r="D322" s="1" t="str">
        <f>T("360-E")</f>
        <v>360-E</v>
      </c>
      <c r="E322" s="1" t="str">
        <f t="shared" si="55"/>
        <v>L4386 OR L4387</v>
      </c>
      <c r="F322" s="1" t="str">
        <f t="shared" si="58"/>
        <v>09/22/2017</v>
      </c>
      <c r="G322" s="3"/>
      <c r="H322" s="1" t="str">
        <f t="shared" si="56"/>
        <v/>
      </c>
    </row>
    <row r="323" spans="1:8" x14ac:dyDescent="0.2">
      <c r="A323" s="1" t="s">
        <v>17</v>
      </c>
      <c r="B323" s="1" t="str">
        <f>T("LOW PROFILE WALKER (HIGH TOP) LARGE")</f>
        <v>LOW PROFILE WALKER (HIGH TOP) LARGE</v>
      </c>
      <c r="C323" s="1" t="str">
        <f t="shared" si="57"/>
        <v>ADVANCED ORTHOPAEDICS INC</v>
      </c>
      <c r="D323" s="1" t="str">
        <f>T("390-E")</f>
        <v>390-E</v>
      </c>
      <c r="E323" s="1" t="str">
        <f t="shared" si="55"/>
        <v>L4386 OR L4387</v>
      </c>
      <c r="F323" s="1" t="str">
        <f t="shared" si="58"/>
        <v>09/22/2017</v>
      </c>
      <c r="G323" s="3"/>
      <c r="H323" s="1" t="str">
        <f t="shared" si="56"/>
        <v/>
      </c>
    </row>
    <row r="324" spans="1:8" x14ac:dyDescent="0.2">
      <c r="A324" s="1" t="s">
        <v>17</v>
      </c>
      <c r="B324" s="1" t="str">
        <f t="shared" ref="B324:B329" si="59">T("LOW TOP NON AIR WALKER BOOT")</f>
        <v>LOW TOP NON AIR WALKER BOOT</v>
      </c>
      <c r="C324" s="1" t="str">
        <f t="shared" ref="C324:C329" si="60">T("DR MEDICAL")</f>
        <v>DR MEDICAL</v>
      </c>
      <c r="D324" s="1" t="str">
        <f>T("AB0104-131")</f>
        <v>AB0104-131</v>
      </c>
      <c r="E324" s="1" t="str">
        <f t="shared" si="55"/>
        <v>L4386 OR L4387</v>
      </c>
      <c r="F324" s="1" t="str">
        <f t="shared" ref="F324:F329" si="61">T("09/29/2017")</f>
        <v>09/29/2017</v>
      </c>
      <c r="G324" s="3"/>
      <c r="H324" s="1" t="str">
        <f t="shared" si="56"/>
        <v/>
      </c>
    </row>
    <row r="325" spans="1:8" x14ac:dyDescent="0.2">
      <c r="A325" s="1" t="s">
        <v>17</v>
      </c>
      <c r="B325" s="1" t="str">
        <f t="shared" si="59"/>
        <v>LOW TOP NON AIR WALKER BOOT</v>
      </c>
      <c r="C325" s="1" t="str">
        <f t="shared" si="60"/>
        <v>DR MEDICAL</v>
      </c>
      <c r="D325" s="1" t="str">
        <f>T("AB0104-131-00")</f>
        <v>AB0104-131-00</v>
      </c>
      <c r="E325" s="1" t="str">
        <f t="shared" si="55"/>
        <v>L4386 OR L4387</v>
      </c>
      <c r="F325" s="1" t="str">
        <f t="shared" si="61"/>
        <v>09/29/2017</v>
      </c>
      <c r="G325" s="3"/>
      <c r="H325" s="1" t="str">
        <f t="shared" si="56"/>
        <v/>
      </c>
    </row>
    <row r="326" spans="1:8" x14ac:dyDescent="0.2">
      <c r="A326" s="1" t="s">
        <v>17</v>
      </c>
      <c r="B326" s="1" t="str">
        <f t="shared" si="59"/>
        <v>LOW TOP NON AIR WALKER BOOT</v>
      </c>
      <c r="C326" s="1" t="str">
        <f t="shared" si="60"/>
        <v>DR MEDICAL</v>
      </c>
      <c r="D326" s="1" t="str">
        <f>T("AB0104-131-01")</f>
        <v>AB0104-131-01</v>
      </c>
      <c r="E326" s="1" t="str">
        <f t="shared" si="55"/>
        <v>L4386 OR L4387</v>
      </c>
      <c r="F326" s="1" t="str">
        <f t="shared" si="61"/>
        <v>09/29/2017</v>
      </c>
      <c r="G326" s="3"/>
      <c r="H326" s="1" t="str">
        <f t="shared" si="56"/>
        <v/>
      </c>
    </row>
    <row r="327" spans="1:8" x14ac:dyDescent="0.2">
      <c r="A327" s="1" t="s">
        <v>17</v>
      </c>
      <c r="B327" s="1" t="str">
        <f t="shared" si="59"/>
        <v>LOW TOP NON AIR WALKER BOOT</v>
      </c>
      <c r="C327" s="1" t="str">
        <f t="shared" si="60"/>
        <v>DR MEDICAL</v>
      </c>
      <c r="D327" s="1" t="str">
        <f>T("AB0104-131-02")</f>
        <v>AB0104-131-02</v>
      </c>
      <c r="E327" s="1" t="str">
        <f t="shared" si="55"/>
        <v>L4386 OR L4387</v>
      </c>
      <c r="F327" s="1" t="str">
        <f t="shared" si="61"/>
        <v>09/29/2017</v>
      </c>
      <c r="G327" s="3"/>
      <c r="H327" s="1" t="str">
        <f t="shared" si="56"/>
        <v/>
      </c>
    </row>
    <row r="328" spans="1:8" x14ac:dyDescent="0.2">
      <c r="A328" s="1" t="s">
        <v>17</v>
      </c>
      <c r="B328" s="1" t="str">
        <f t="shared" si="59"/>
        <v>LOW TOP NON AIR WALKER BOOT</v>
      </c>
      <c r="C328" s="1" t="str">
        <f t="shared" si="60"/>
        <v>DR MEDICAL</v>
      </c>
      <c r="D328" s="1" t="str">
        <f>T("AB0104-131-03")</f>
        <v>AB0104-131-03</v>
      </c>
      <c r="E328" s="1" t="str">
        <f t="shared" si="55"/>
        <v>L4386 OR L4387</v>
      </c>
      <c r="F328" s="1" t="str">
        <f t="shared" si="61"/>
        <v>09/29/2017</v>
      </c>
      <c r="G328" s="3"/>
      <c r="H328" s="1" t="str">
        <f t="shared" si="56"/>
        <v/>
      </c>
    </row>
    <row r="329" spans="1:8" x14ac:dyDescent="0.2">
      <c r="A329" s="1" t="s">
        <v>17</v>
      </c>
      <c r="B329" s="1" t="str">
        <f t="shared" si="59"/>
        <v>LOW TOP NON AIR WALKER BOOT</v>
      </c>
      <c r="C329" s="1" t="str">
        <f t="shared" si="60"/>
        <v>DR MEDICAL</v>
      </c>
      <c r="D329" s="1" t="str">
        <f>T("AB0104-131-04")</f>
        <v>AB0104-131-04</v>
      </c>
      <c r="E329" s="1" t="str">
        <f t="shared" si="55"/>
        <v>L4386 OR L4387</v>
      </c>
      <c r="F329" s="1" t="str">
        <f t="shared" si="61"/>
        <v>09/29/2017</v>
      </c>
      <c r="G329" s="3"/>
      <c r="H329" s="1" t="str">
        <f t="shared" si="56"/>
        <v/>
      </c>
    </row>
    <row r="330" spans="1:8" x14ac:dyDescent="0.2">
      <c r="A330" s="1" t="s">
        <v>17</v>
      </c>
      <c r="B330" s="1" t="str">
        <f>T("STABILIZER RANGE OF MOTION WALKER - X SMALL")</f>
        <v>STABILIZER RANGE OF MOTION WALKER - X SMALL</v>
      </c>
      <c r="C330" s="1" t="str">
        <f>T("ADVANCED ORTHOPAEDICS INC")</f>
        <v>ADVANCED ORTHOPAEDICS INC</v>
      </c>
      <c r="D330" s="1" t="str">
        <f>T("311")</f>
        <v>311</v>
      </c>
      <c r="E330" s="1" t="str">
        <f>T("L4387")</f>
        <v>L4387</v>
      </c>
      <c r="F330" s="1" t="str">
        <f>T("09/19/2017")</f>
        <v>09/19/2017</v>
      </c>
      <c r="G330" s="3"/>
      <c r="H330" s="1" t="str">
        <f t="shared" si="56"/>
        <v/>
      </c>
    </row>
    <row r="331" spans="1:8" x14ac:dyDescent="0.2">
      <c r="A331" s="1" t="s">
        <v>17</v>
      </c>
      <c r="B331" s="1" t="str">
        <f>T("STABILIZER RANGE OF MOTION WALKER - SMALL")</f>
        <v>STABILIZER RANGE OF MOTION WALKER - SMALL</v>
      </c>
      <c r="C331" s="1" t="str">
        <f>T("ADVANCED ORTHOPAEDICS INC")</f>
        <v>ADVANCED ORTHOPAEDICS INC</v>
      </c>
      <c r="D331" s="1" t="str">
        <f>T("313")</f>
        <v>313</v>
      </c>
      <c r="E331" s="1" t="str">
        <f>T("L4387")</f>
        <v>L4387</v>
      </c>
      <c r="F331" s="1" t="str">
        <f>T("09/19/2017")</f>
        <v>09/19/2017</v>
      </c>
      <c r="G331" s="3"/>
      <c r="H331" s="1" t="str">
        <f t="shared" si="56"/>
        <v/>
      </c>
    </row>
    <row r="332" spans="1:8" x14ac:dyDescent="0.2">
      <c r="A332" s="1" t="s">
        <v>17</v>
      </c>
      <c r="B332" s="1" t="str">
        <f>T("STABILIZER RANGE OF MOTION WALKER - MEDIUM")</f>
        <v>STABILIZER RANGE OF MOTION WALKER - MEDIUM</v>
      </c>
      <c r="C332" s="1" t="str">
        <f>T("ADVANCED ORTHOPAEDICS INC")</f>
        <v>ADVANCED ORTHOPAEDICS INC</v>
      </c>
      <c r="D332" s="1" t="str">
        <f>T("315")</f>
        <v>315</v>
      </c>
      <c r="E332" s="1" t="str">
        <f>T("L4387")</f>
        <v>L4387</v>
      </c>
      <c r="F332" s="1" t="str">
        <f>T("09/19/2017")</f>
        <v>09/19/2017</v>
      </c>
      <c r="G332" s="3"/>
      <c r="H332" s="1" t="str">
        <f t="shared" si="56"/>
        <v/>
      </c>
    </row>
    <row r="333" spans="1:8" x14ac:dyDescent="0.2">
      <c r="A333" s="1" t="s">
        <v>17</v>
      </c>
      <c r="B333" s="1" t="str">
        <f>T("STABILIZER RANGE OF MOTION WALKER - LARGE")</f>
        <v>STABILIZER RANGE OF MOTION WALKER - LARGE</v>
      </c>
      <c r="C333" s="1" t="str">
        <f>T("ADVANCED ORTHOPAEDICS INC")</f>
        <v>ADVANCED ORTHOPAEDICS INC</v>
      </c>
      <c r="D333" s="1" t="str">
        <f>T("317")</f>
        <v>317</v>
      </c>
      <c r="E333" s="1" t="str">
        <f>T("L4387")</f>
        <v>L4387</v>
      </c>
      <c r="F333" s="1" t="str">
        <f>T("09/19/2017")</f>
        <v>09/19/2017</v>
      </c>
      <c r="G333" s="3"/>
      <c r="H333" s="1" t="str">
        <f t="shared" si="56"/>
        <v/>
      </c>
    </row>
    <row r="334" spans="1:8" x14ac:dyDescent="0.2">
      <c r="A334" s="1" t="s">
        <v>17</v>
      </c>
      <c r="B334" s="1" t="str">
        <f>T("STABILIZER RANGE OF MOTION WALKER - X LARGE")</f>
        <v>STABILIZER RANGE OF MOTION WALKER - X LARGE</v>
      </c>
      <c r="C334" s="1" t="str">
        <f>T("ADVANCED ORTHOPAEDICS INC")</f>
        <v>ADVANCED ORTHOPAEDICS INC</v>
      </c>
      <c r="D334" s="1" t="str">
        <f>T("318")</f>
        <v>318</v>
      </c>
      <c r="E334" s="1" t="str">
        <f>T("L4387")</f>
        <v>L4387</v>
      </c>
      <c r="F334" s="1" t="str">
        <f>T("09/19/2017")</f>
        <v>09/19/2017</v>
      </c>
      <c r="G334" s="3"/>
      <c r="H334" s="1" t="str">
        <f t="shared" si="56"/>
        <v/>
      </c>
    </row>
    <row r="335" spans="1:8" x14ac:dyDescent="0.2">
      <c r="A335" s="1" t="s">
        <v>18</v>
      </c>
      <c r="B335" s="3" t="s">
        <v>130</v>
      </c>
      <c r="C335" s="3" t="s">
        <v>3</v>
      </c>
      <c r="D335" s="3"/>
      <c r="E335" s="3" t="s">
        <v>80</v>
      </c>
      <c r="F335" s="4">
        <v>39083</v>
      </c>
      <c r="G335" s="4">
        <v>42978</v>
      </c>
      <c r="H335" s="3" t="s">
        <v>81</v>
      </c>
    </row>
    <row r="336" spans="1:8" x14ac:dyDescent="0.2">
      <c r="A336" s="1" t="s">
        <v>17</v>
      </c>
      <c r="B336" s="1" t="str">
        <f>T("OTTOBOCK 3R60 PROSTHETIC KNEE JOINT")</f>
        <v>OTTOBOCK 3R60 PROSTHETIC KNEE JOINT</v>
      </c>
      <c r="C336" s="1" t="str">
        <f>T("OTTO BOCK HEALTHCARE")</f>
        <v>OTTO BOCK HEALTHCARE</v>
      </c>
      <c r="D336" s="1" t="str">
        <f>T("3R60")</f>
        <v>3R60</v>
      </c>
      <c r="E336" s="1" t="str">
        <f>T("L5814+L5848")</f>
        <v>L5814+L5848</v>
      </c>
      <c r="F336" s="1" t="str">
        <f>T("09/01/2017")</f>
        <v>09/01/2017</v>
      </c>
      <c r="G336" s="3"/>
      <c r="H336" s="1" t="str">
        <f>T("")</f>
        <v/>
      </c>
    </row>
    <row r="337" spans="1:8" x14ac:dyDescent="0.2">
      <c r="A337" s="1" t="s">
        <v>17</v>
      </c>
      <c r="B337" s="1" t="str">
        <f>T("SAFE STRIDE KNEE")</f>
        <v>SAFE STRIDE KNEE</v>
      </c>
      <c r="C337" s="1" t="str">
        <f>T("ST &amp; G USA CORP")</f>
        <v>ST &amp; G USA CORP</v>
      </c>
      <c r="D337" s="1" t="str">
        <f>T("1341")</f>
        <v>1341</v>
      </c>
      <c r="E337" s="1" t="str">
        <f>T("L5840")</f>
        <v>L5840</v>
      </c>
      <c r="F337" s="1" t="str">
        <f>T("09/06/2017")</f>
        <v>09/06/2017</v>
      </c>
      <c r="G337" s="3"/>
      <c r="H337" s="1" t="s">
        <v>8</v>
      </c>
    </row>
    <row r="338" spans="1:8" x14ac:dyDescent="0.2">
      <c r="A338" s="1" t="s">
        <v>17</v>
      </c>
      <c r="B338" s="1" t="str">
        <f>T("K2 JET")</f>
        <v>K2 JET</v>
      </c>
      <c r="C338" s="1" t="str">
        <f t="shared" ref="C338:C346" si="62">T("GAME CHANGER FEET LLC")</f>
        <v>GAME CHANGER FEET LLC</v>
      </c>
      <c r="D338" s="1" t="str">
        <f t="shared" ref="D338:D346" si="63">T("")</f>
        <v/>
      </c>
      <c r="E338" s="1" t="str">
        <f t="shared" ref="E338:E346" si="64">T("L5981")</f>
        <v>L5981</v>
      </c>
      <c r="F338" s="1" t="str">
        <f t="shared" ref="F338:F353" si="65">T("09/15/2017")</f>
        <v>09/15/2017</v>
      </c>
      <c r="G338" s="3"/>
      <c r="H338" s="1" t="str">
        <f t="shared" ref="H338:H353" si="66">T("")</f>
        <v/>
      </c>
    </row>
    <row r="339" spans="1:8" x14ac:dyDescent="0.2">
      <c r="A339" s="1" t="s">
        <v>17</v>
      </c>
      <c r="B339" s="1" t="str">
        <f>T("K-3 VSC 8.0")</f>
        <v>K-3 VSC 8.0</v>
      </c>
      <c r="C339" s="1" t="str">
        <f t="shared" si="62"/>
        <v>GAME CHANGER FEET LLC</v>
      </c>
      <c r="D339" s="1" t="str">
        <f t="shared" si="63"/>
        <v/>
      </c>
      <c r="E339" s="1" t="str">
        <f t="shared" si="64"/>
        <v>L5981</v>
      </c>
      <c r="F339" s="1" t="str">
        <f t="shared" si="65"/>
        <v>09/15/2017</v>
      </c>
      <c r="G339" s="3"/>
      <c r="H339" s="1" t="str">
        <f t="shared" si="66"/>
        <v/>
      </c>
    </row>
    <row r="340" spans="1:8" x14ac:dyDescent="0.2">
      <c r="A340" s="1" t="s">
        <v>17</v>
      </c>
      <c r="B340" s="1" t="str">
        <f>T("K-3 VSC LP 5.0")</f>
        <v>K-3 VSC LP 5.0</v>
      </c>
      <c r="C340" s="1" t="str">
        <f t="shared" si="62"/>
        <v>GAME CHANGER FEET LLC</v>
      </c>
      <c r="D340" s="1" t="str">
        <f t="shared" si="63"/>
        <v/>
      </c>
      <c r="E340" s="1" t="str">
        <f t="shared" si="64"/>
        <v>L5981</v>
      </c>
      <c r="F340" s="1" t="str">
        <f t="shared" si="65"/>
        <v>09/15/2017</v>
      </c>
      <c r="G340" s="3"/>
      <c r="H340" s="1" t="str">
        <f t="shared" si="66"/>
        <v/>
      </c>
    </row>
    <row r="341" spans="1:8" x14ac:dyDescent="0.2">
      <c r="A341" s="1" t="s">
        <v>17</v>
      </c>
      <c r="B341" s="1" t="str">
        <f>T("K-3 VSC LP BARBI 5.0")</f>
        <v>K-3 VSC LP BARBI 5.0</v>
      </c>
      <c r="C341" s="1" t="str">
        <f t="shared" si="62"/>
        <v>GAME CHANGER FEET LLC</v>
      </c>
      <c r="D341" s="1" t="str">
        <f t="shared" si="63"/>
        <v/>
      </c>
      <c r="E341" s="1" t="str">
        <f t="shared" si="64"/>
        <v>L5981</v>
      </c>
      <c r="F341" s="1" t="str">
        <f t="shared" si="65"/>
        <v>09/15/2017</v>
      </c>
      <c r="G341" s="3"/>
      <c r="H341" s="1" t="str">
        <f t="shared" si="66"/>
        <v/>
      </c>
    </row>
    <row r="342" spans="1:8" x14ac:dyDescent="0.2">
      <c r="A342" s="1" t="s">
        <v>17</v>
      </c>
      <c r="B342" s="1" t="str">
        <f>T("K-3 VSC-LP")</f>
        <v>K-3 VSC-LP</v>
      </c>
      <c r="C342" s="1" t="str">
        <f t="shared" si="62"/>
        <v>GAME CHANGER FEET LLC</v>
      </c>
      <c r="D342" s="1" t="str">
        <f t="shared" si="63"/>
        <v/>
      </c>
      <c r="E342" s="1" t="str">
        <f t="shared" si="64"/>
        <v>L5981</v>
      </c>
      <c r="F342" s="1" t="str">
        <f t="shared" si="65"/>
        <v>09/15/2017</v>
      </c>
      <c r="G342" s="3"/>
      <c r="H342" s="1" t="str">
        <f t="shared" si="66"/>
        <v/>
      </c>
    </row>
    <row r="343" spans="1:8" x14ac:dyDescent="0.2">
      <c r="A343" s="1" t="s">
        <v>17</v>
      </c>
      <c r="B343" s="1" t="str">
        <f>T("VSC")</f>
        <v>VSC</v>
      </c>
      <c r="C343" s="1" t="str">
        <f t="shared" si="62"/>
        <v>GAME CHANGER FEET LLC</v>
      </c>
      <c r="D343" s="1" t="str">
        <f t="shared" si="63"/>
        <v/>
      </c>
      <c r="E343" s="1" t="str">
        <f t="shared" si="64"/>
        <v>L5981</v>
      </c>
      <c r="F343" s="1" t="str">
        <f t="shared" si="65"/>
        <v>09/15/2017</v>
      </c>
      <c r="G343" s="3"/>
      <c r="H343" s="1" t="str">
        <f t="shared" si="66"/>
        <v/>
      </c>
    </row>
    <row r="344" spans="1:8" x14ac:dyDescent="0.2">
      <c r="A344" s="1" t="s">
        <v>17</v>
      </c>
      <c r="B344" s="1" t="str">
        <f>T("VSC-LP")</f>
        <v>VSC-LP</v>
      </c>
      <c r="C344" s="1" t="str">
        <f t="shared" si="62"/>
        <v>GAME CHANGER FEET LLC</v>
      </c>
      <c r="D344" s="1" t="str">
        <f t="shared" si="63"/>
        <v/>
      </c>
      <c r="E344" s="1" t="str">
        <f t="shared" si="64"/>
        <v>L5981</v>
      </c>
      <c r="F344" s="1" t="str">
        <f t="shared" si="65"/>
        <v>09/15/2017</v>
      </c>
      <c r="G344" s="3"/>
      <c r="H344" s="1" t="str">
        <f t="shared" si="66"/>
        <v/>
      </c>
    </row>
    <row r="345" spans="1:8" x14ac:dyDescent="0.2">
      <c r="A345" s="1" t="s">
        <v>17</v>
      </c>
      <c r="B345" s="1" t="str">
        <f>T("SUPER GIRL SPECIAL ORDER VSC 8.0")</f>
        <v>SUPER GIRL SPECIAL ORDER VSC 8.0</v>
      </c>
      <c r="C345" s="1" t="str">
        <f t="shared" si="62"/>
        <v>GAME CHANGER FEET LLC</v>
      </c>
      <c r="D345" s="1" t="str">
        <f t="shared" si="63"/>
        <v/>
      </c>
      <c r="E345" s="1" t="str">
        <f t="shared" si="64"/>
        <v>L5981</v>
      </c>
      <c r="F345" s="1" t="str">
        <f t="shared" si="65"/>
        <v>09/15/2017</v>
      </c>
      <c r="G345" s="3"/>
      <c r="H345" s="1" t="str">
        <f t="shared" si="66"/>
        <v/>
      </c>
    </row>
    <row r="346" spans="1:8" x14ac:dyDescent="0.2">
      <c r="A346" s="1" t="s">
        <v>17</v>
      </c>
      <c r="B346" s="1" t="str">
        <f>T("JET-3")</f>
        <v>JET-3</v>
      </c>
      <c r="C346" s="1" t="str">
        <f t="shared" si="62"/>
        <v>GAME CHANGER FEET LLC</v>
      </c>
      <c r="D346" s="1" t="str">
        <f t="shared" si="63"/>
        <v/>
      </c>
      <c r="E346" s="1" t="str">
        <f t="shared" si="64"/>
        <v>L5981</v>
      </c>
      <c r="F346" s="1" t="str">
        <f t="shared" si="65"/>
        <v>09/15/2017</v>
      </c>
      <c r="G346" s="3"/>
      <c r="H346" s="1" t="str">
        <f t="shared" si="66"/>
        <v/>
      </c>
    </row>
    <row r="347" spans="1:8" x14ac:dyDescent="0.2">
      <c r="A347" s="1" t="s">
        <v>17</v>
      </c>
      <c r="B347" s="1" t="str">
        <f>T("SUPER HERO")</f>
        <v>SUPER HERO</v>
      </c>
      <c r="C347" s="1" t="str">
        <f>T("GAME CHANGER FEET")</f>
        <v>GAME CHANGER FEET</v>
      </c>
      <c r="D347" s="1" t="str">
        <f>T("7.0")</f>
        <v>7.0</v>
      </c>
      <c r="E347" s="1" t="str">
        <f t="shared" ref="E347:E353" si="67">T("L5999")</f>
        <v>L5999</v>
      </c>
      <c r="F347" s="1" t="str">
        <f t="shared" si="65"/>
        <v>09/15/2017</v>
      </c>
      <c r="G347" s="3"/>
      <c r="H347" s="1" t="str">
        <f t="shared" si="66"/>
        <v/>
      </c>
    </row>
    <row r="348" spans="1:8" x14ac:dyDescent="0.2">
      <c r="A348" s="1" t="s">
        <v>17</v>
      </c>
      <c r="B348" s="1" t="str">
        <f>T("GAME CHANGER SUPER HERO WITH VIBRAM SOLE")</f>
        <v>GAME CHANGER SUPER HERO WITH VIBRAM SOLE</v>
      </c>
      <c r="C348" s="1" t="str">
        <f>T("GAME CHANGER FEET LLC")</f>
        <v>GAME CHANGER FEET LLC</v>
      </c>
      <c r="D348" s="1" t="str">
        <f>T("")</f>
        <v/>
      </c>
      <c r="E348" s="1" t="str">
        <f t="shared" si="67"/>
        <v>L5999</v>
      </c>
      <c r="F348" s="1" t="str">
        <f t="shared" si="65"/>
        <v>09/15/2017</v>
      </c>
      <c r="G348" s="3"/>
      <c r="H348" s="1" t="str">
        <f t="shared" si="66"/>
        <v/>
      </c>
    </row>
    <row r="349" spans="1:8" x14ac:dyDescent="0.2">
      <c r="A349" s="1" t="s">
        <v>17</v>
      </c>
      <c r="B349" s="1" t="str">
        <f>T("SUPER HERO PEDIATRIC")</f>
        <v>SUPER HERO PEDIATRIC</v>
      </c>
      <c r="C349" s="1" t="str">
        <f>T("GAME CHANGER FEET LLC")</f>
        <v>GAME CHANGER FEET LLC</v>
      </c>
      <c r="D349" s="1" t="str">
        <f>T("")</f>
        <v/>
      </c>
      <c r="E349" s="1" t="str">
        <f t="shared" si="67"/>
        <v>L5999</v>
      </c>
      <c r="F349" s="1" t="str">
        <f t="shared" si="65"/>
        <v>09/15/2017</v>
      </c>
      <c r="G349" s="3"/>
      <c r="H349" s="1" t="str">
        <f t="shared" si="66"/>
        <v/>
      </c>
    </row>
    <row r="350" spans="1:8" x14ac:dyDescent="0.2">
      <c r="A350" s="1" t="s">
        <v>17</v>
      </c>
      <c r="B350" s="1" t="str">
        <f>T("SUPER BABY BLADE")</f>
        <v>SUPER BABY BLADE</v>
      </c>
      <c r="C350" s="1" t="str">
        <f>T("GAME CHANGER FEET LLC")</f>
        <v>GAME CHANGER FEET LLC</v>
      </c>
      <c r="D350" s="1" t="str">
        <f>T("")</f>
        <v/>
      </c>
      <c r="E350" s="1" t="str">
        <f t="shared" si="67"/>
        <v>L5999</v>
      </c>
      <c r="F350" s="1" t="str">
        <f t="shared" si="65"/>
        <v>09/15/2017</v>
      </c>
      <c r="G350" s="3"/>
      <c r="H350" s="1" t="str">
        <f t="shared" si="66"/>
        <v/>
      </c>
    </row>
    <row r="351" spans="1:8" x14ac:dyDescent="0.2">
      <c r="A351" s="1" t="s">
        <v>17</v>
      </c>
      <c r="B351" s="1" t="str">
        <f>T("SUPER HERO")</f>
        <v>SUPER HERO</v>
      </c>
      <c r="C351" s="1" t="str">
        <f>T("GAME CHANGER FEET LLC")</f>
        <v>GAME CHANGER FEET LLC</v>
      </c>
      <c r="D351" s="1" t="str">
        <f>T("3.0")</f>
        <v>3.0</v>
      </c>
      <c r="E351" s="1" t="str">
        <f t="shared" si="67"/>
        <v>L5999</v>
      </c>
      <c r="F351" s="1" t="str">
        <f t="shared" si="65"/>
        <v>09/15/2017</v>
      </c>
      <c r="G351" s="3"/>
      <c r="H351" s="1" t="str">
        <f t="shared" si="66"/>
        <v/>
      </c>
    </row>
    <row r="352" spans="1:8" x14ac:dyDescent="0.2">
      <c r="A352" s="1" t="s">
        <v>17</v>
      </c>
      <c r="B352" s="1" t="str">
        <f>T("SUPER HERO")</f>
        <v>SUPER HERO</v>
      </c>
      <c r="C352" s="1" t="str">
        <f>T("GAME CHANGER FEET")</f>
        <v>GAME CHANGER FEET</v>
      </c>
      <c r="D352" s="1" t="str">
        <f>T("4.5")</f>
        <v>4.5</v>
      </c>
      <c r="E352" s="1" t="str">
        <f t="shared" si="67"/>
        <v>L5999</v>
      </c>
      <c r="F352" s="1" t="str">
        <f t="shared" si="65"/>
        <v>09/15/2017</v>
      </c>
      <c r="G352" s="3"/>
      <c r="H352" s="1" t="str">
        <f t="shared" si="66"/>
        <v/>
      </c>
    </row>
    <row r="353" spans="1:8" x14ac:dyDescent="0.2">
      <c r="A353" s="1" t="s">
        <v>17</v>
      </c>
      <c r="B353" s="1" t="str">
        <f>T("SUPER HERO")</f>
        <v>SUPER HERO</v>
      </c>
      <c r="C353" s="1" t="str">
        <f>T("GAME CHANGER FEET")</f>
        <v>GAME CHANGER FEET</v>
      </c>
      <c r="D353" s="1" t="str">
        <f>T("6.0")</f>
        <v>6.0</v>
      </c>
      <c r="E353" s="1" t="str">
        <f t="shared" si="67"/>
        <v>L5999</v>
      </c>
      <c r="F353" s="1" t="str">
        <f t="shared" si="65"/>
        <v>09/15/2017</v>
      </c>
      <c r="G353" s="3"/>
      <c r="H353" s="1" t="str">
        <f t="shared" si="66"/>
        <v/>
      </c>
    </row>
    <row r="354" spans="1:8" x14ac:dyDescent="0.2">
      <c r="A354" s="1" t="s">
        <v>17</v>
      </c>
      <c r="B354" s="1" t="str">
        <f>T("CAST21 SHORT ARM EXO")</f>
        <v>CAST21 SHORT ARM EXO</v>
      </c>
      <c r="C354" s="1" t="str">
        <f>T("CAST21 INC")</f>
        <v>CAST21 INC</v>
      </c>
      <c r="D354" s="1" t="str">
        <f>T("001")</f>
        <v>001</v>
      </c>
      <c r="E354" s="1" t="str">
        <f>T("NO HCPCS CODE ASSIGNED")</f>
        <v>NO HCPCS CODE ASSIGNED</v>
      </c>
      <c r="F354" s="1" t="str">
        <f>T("09/14/2017")</f>
        <v>09/14/2017</v>
      </c>
      <c r="G354" s="3"/>
      <c r="H354" s="1" t="str">
        <f>T("NOT BILLABLE TO THE DME MACS.")</f>
        <v>NOT BILLABLE TO THE DME MACS.</v>
      </c>
    </row>
    <row r="355" spans="1:8" x14ac:dyDescent="0.2">
      <c r="A355" s="1" t="s">
        <v>17</v>
      </c>
      <c r="B355" s="1" t="str">
        <f>T("SIPQUIK CERVICAL COLLAR")</f>
        <v>SIPQUIK CERVICAL COLLAR</v>
      </c>
      <c r="C355" s="1" t="str">
        <f>T("CARE 2 INNOVATIONS")</f>
        <v>CARE 2 INNOVATIONS</v>
      </c>
      <c r="D355" s="1" t="str">
        <f>T("700")</f>
        <v>700</v>
      </c>
      <c r="E355" s="1" t="str">
        <f>T("NO HCPCS CODE ASSIGNED")</f>
        <v>NO HCPCS CODE ASSIGNED</v>
      </c>
      <c r="F355" s="1" t="str">
        <f>T("09/22/2017")</f>
        <v>09/22/2017</v>
      </c>
      <c r="G355" s="3"/>
      <c r="H355" s="1" t="str">
        <f>T("NOT BILLABLE TO THE DME MACS")</f>
        <v>NOT BILLABLE TO THE DME MACS</v>
      </c>
    </row>
    <row r="356" spans="1:8" x14ac:dyDescent="0.2">
      <c r="A356" s="1" t="s">
        <v>18</v>
      </c>
      <c r="B356" s="1" t="str">
        <f>T("QUICKIE XENON2 FIXED FRONT")</f>
        <v>QUICKIE XENON2 FIXED FRONT</v>
      </c>
      <c r="C356" s="1" t="str">
        <f>T("SUNRISE MEDICAL (US) LLC")</f>
        <v>SUNRISE MEDICAL (US) LLC</v>
      </c>
      <c r="D356" s="3"/>
      <c r="E356" s="1" t="str">
        <f>T("NO HCPCS CODE ASSIGNED")</f>
        <v>NO HCPCS CODE ASSIGNED</v>
      </c>
      <c r="F356" s="1" t="str">
        <f>T("07/13/2017")</f>
        <v>07/13/2017</v>
      </c>
      <c r="G356" s="1" t="str">
        <f>T("09/21/2017")</f>
        <v>09/21/2017</v>
      </c>
      <c r="H356" s="1" t="str">
        <f>T("THIS PRODUCT IS INCOMPLETE. THE ARMRESTS DO NOT COME STANDARD.")</f>
        <v>THIS PRODUCT IS INCOMPLETE. THE ARMRESTS DO NOT COME STANDARD.</v>
      </c>
    </row>
    <row r="357" spans="1:8" x14ac:dyDescent="0.2">
      <c r="A357" s="1" t="s">
        <v>18</v>
      </c>
      <c r="B357" s="1" t="str">
        <f>T("QUICKIE XENON2 HYBRID - DUAL TUBE")</f>
        <v>QUICKIE XENON2 HYBRID - DUAL TUBE</v>
      </c>
      <c r="C357" s="1" t="str">
        <f>T("SUNRISE MEDICAL (US) LLC")</f>
        <v>SUNRISE MEDICAL (US) LLC</v>
      </c>
      <c r="D357" s="3"/>
      <c r="E357" s="1" t="str">
        <f>T("NO HCPCS CODE ASSIGNED")</f>
        <v>NO HCPCS CODE ASSIGNED</v>
      </c>
      <c r="F357" s="1" t="str">
        <f>T("07/13/2017")</f>
        <v>07/13/2017</v>
      </c>
      <c r="G357" s="1" t="str">
        <f>T("09/21/2017")</f>
        <v>09/21/2017</v>
      </c>
      <c r="H357" s="1" t="str">
        <f>T("THIS PRODUCT IS INCOMPLETE. THE ARMRESTS DO NOT COME STANDARD.")</f>
        <v>THIS PRODUCT IS INCOMPLETE. THE ARMRESTS DO NOT COME STANDARD.</v>
      </c>
    </row>
    <row r="358" spans="1:8" x14ac:dyDescent="0.2">
      <c r="A358" s="1" t="s">
        <v>18</v>
      </c>
      <c r="B358" s="1" t="str">
        <f>T("QUICKIE XENON2 SWING AWAY")</f>
        <v>QUICKIE XENON2 SWING AWAY</v>
      </c>
      <c r="C358" s="1" t="str">
        <f>T("SUNRISE MEDICAL (US) LLC")</f>
        <v>SUNRISE MEDICAL (US) LLC</v>
      </c>
      <c r="D358" s="3"/>
      <c r="E358" s="1" t="str">
        <f>T("NO HCPCS CODE ASSIGNED")</f>
        <v>NO HCPCS CODE ASSIGNED</v>
      </c>
      <c r="F358" s="1" t="str">
        <f>T("07/13/2017")</f>
        <v>07/13/2017</v>
      </c>
      <c r="G358" s="1" t="str">
        <f>T("09/21/2017")</f>
        <v>09/21/2017</v>
      </c>
      <c r="H358" s="1" t="str">
        <f>T("THIS PRODUCT IS INCOMPLETE. THE ARMRESTS DO NOT COME STANDARD.")</f>
        <v>THIS PRODUCT IS INCOMPLETE. THE ARMRESTS DO NOT COME STANDARD.</v>
      </c>
    </row>
  </sheetData>
  <autoFilter ref="A6:H372"/>
  <sortState ref="A7:H358">
    <sortCondition ref="E6"/>
  </sortState>
  <mergeCells count="1">
    <mergeCell ref="A1:H5"/>
  </mergeCells>
  <pageMargins left="0.7" right="0.7" top="0.75" bottom="0.75" header="0.3" footer="0.3"/>
  <pageSetup orientation="portrait" r:id="rId1"/>
  <ignoredErrors>
    <ignoredError sqref="D41:D49 D128 D140:D141 D155:D156 D175 D177 D217" numberStoredAsText="1"/>
    <ignoredError sqref="C69 D105:D106 C147:C148 F165 B233:C233 F283 C347:D34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A930C9-70D6-46C0-BE5A-7F3655C8780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120B51-8557-4BB8-9C8F-4078498098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A295F1-531E-4C85-A316-F911CE864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2017</vt:lpstr>
    </vt:vector>
  </TitlesOfParts>
  <Company>Noridian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September 2017 PCL Additions and Updates</dc:title>
  <dc:subject>September 2017 PCL Additions and Updates</dc:subject>
  <dc:creator>Noridian Healthcare Solutions</dc:creator>
  <cp:keywords>September 2017 PCL Additions and Updates</cp:keywords>
  <cp:lastModifiedBy>Megan Schrock</cp:lastModifiedBy>
  <dcterms:created xsi:type="dcterms:W3CDTF">2017-09-05T20:33:43Z</dcterms:created>
  <dcterms:modified xsi:type="dcterms:W3CDTF">2018-02-22T21:46:25Z</dcterms:modified>
</cp:coreProperties>
</file>